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omulo.Gomes\Downloads\"/>
    </mc:Choice>
  </mc:AlternateContent>
  <xr:revisionPtr revIDLastSave="0" documentId="13_ncr:1_{C7FCF7C5-720E-4F9F-A1A3-355625679ED1}" xr6:coauthVersionLast="47" xr6:coauthVersionMax="47" xr10:uidLastSave="{00000000-0000-0000-0000-000000000000}"/>
  <bookViews>
    <workbookView xWindow="-108" yWindow="-108" windowWidth="23256" windowHeight="12576" tabRatio="709" firstSheet="5" activeTab="6" xr2:uid="{00000000-000D-0000-FFFF-FFFF00000000}"/>
  </bookViews>
  <sheets>
    <sheet name="ANEXO 3" sheetId="14" state="hidden" r:id="rId1"/>
    <sheet name="ANEXO 5" sheetId="16" state="hidden" r:id="rId2"/>
    <sheet name="Carnê Leão" sheetId="21" state="hidden" r:id="rId3"/>
    <sheet name="Lucro Presumido" sheetId="12" state="hidden" r:id="rId4"/>
    <sheet name="resumo" sheetId="19" state="hidden" r:id="rId5"/>
    <sheet name="Apresentação" sheetId="22" r:id="rId6"/>
    <sheet name="Calculadora" sheetId="11" r:id="rId7"/>
    <sheet name="SUSPENSA" sheetId="23" state="hidden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9" i="11" l="1"/>
  <c r="H9" i="11"/>
  <c r="D35" i="11" l="1"/>
  <c r="K5" i="22" l="1"/>
  <c r="X34" i="11"/>
  <c r="C33" i="11"/>
  <c r="E31" i="12"/>
  <c r="E32" i="12" s="1"/>
  <c r="L31" i="12" l="1"/>
  <c r="L32" i="12" s="1"/>
  <c r="L35" i="12" s="1"/>
  <c r="H18" i="12"/>
  <c r="D31" i="12"/>
  <c r="D32" i="12" s="1"/>
  <c r="D34" i="12" s="1"/>
  <c r="E38" i="12"/>
  <c r="E37" i="12"/>
  <c r="E35" i="12"/>
  <c r="E34" i="12"/>
  <c r="E39" i="12"/>
  <c r="G18" i="12"/>
  <c r="K31" i="12"/>
  <c r="K32" i="12" s="1"/>
  <c r="C31" i="12"/>
  <c r="C32" i="12" s="1"/>
  <c r="F18" i="12"/>
  <c r="L18" i="12"/>
  <c r="D18" i="12"/>
  <c r="H31" i="12"/>
  <c r="H32" i="12" s="1"/>
  <c r="B18" i="12"/>
  <c r="K18" i="12"/>
  <c r="C18" i="12"/>
  <c r="C19" i="12" s="1"/>
  <c r="G31" i="12"/>
  <c r="G32" i="12" s="1"/>
  <c r="J31" i="12"/>
  <c r="J32" i="12" s="1"/>
  <c r="M18" i="12"/>
  <c r="E18" i="12"/>
  <c r="I31" i="12"/>
  <c r="I32" i="12" s="1"/>
  <c r="J18" i="12"/>
  <c r="B31" i="12"/>
  <c r="B32" i="12" s="1"/>
  <c r="F31" i="12"/>
  <c r="F32" i="12" s="1"/>
  <c r="I18" i="12"/>
  <c r="M31" i="12"/>
  <c r="M32" i="12" s="1"/>
  <c r="C28" i="11"/>
  <c r="H8" i="11" s="1"/>
  <c r="D35" i="12" l="1"/>
  <c r="D39" i="12"/>
  <c r="D37" i="12"/>
  <c r="D38" i="12"/>
  <c r="L39" i="12"/>
  <c r="L38" i="12"/>
  <c r="L34" i="12"/>
  <c r="L37" i="12"/>
  <c r="C21" i="12"/>
  <c r="C24" i="12"/>
  <c r="C25" i="12"/>
  <c r="C26" i="12"/>
  <c r="C22" i="12"/>
  <c r="I35" i="12"/>
  <c r="I38" i="12"/>
  <c r="I39" i="12"/>
  <c r="I34" i="12"/>
  <c r="I37" i="12"/>
  <c r="H35" i="12"/>
  <c r="H38" i="12"/>
  <c r="H34" i="12"/>
  <c r="H39" i="12"/>
  <c r="H37" i="12"/>
  <c r="B39" i="12"/>
  <c r="B38" i="12"/>
  <c r="B37" i="12"/>
  <c r="J35" i="12"/>
  <c r="J38" i="12"/>
  <c r="J39" i="12"/>
  <c r="J34" i="12"/>
  <c r="J37" i="12"/>
  <c r="M39" i="12"/>
  <c r="M34" i="12"/>
  <c r="M35" i="12"/>
  <c r="M37" i="12"/>
  <c r="M38" i="12"/>
  <c r="G38" i="12"/>
  <c r="G35" i="12"/>
  <c r="G37" i="12"/>
  <c r="G39" i="12"/>
  <c r="G34" i="12"/>
  <c r="C34" i="12"/>
  <c r="C37" i="12"/>
  <c r="C39" i="12"/>
  <c r="C35" i="12"/>
  <c r="C38" i="12"/>
  <c r="F38" i="12"/>
  <c r="F39" i="12"/>
  <c r="F34" i="12"/>
  <c r="F37" i="12"/>
  <c r="F35" i="12"/>
  <c r="K37" i="12"/>
  <c r="K35" i="12"/>
  <c r="K38" i="12"/>
  <c r="K39" i="12"/>
  <c r="K34" i="12"/>
  <c r="O31" i="12"/>
  <c r="O32" i="12" s="1"/>
  <c r="B34" i="12"/>
  <c r="B35" i="12"/>
  <c r="O18" i="12"/>
  <c r="O19" i="12" s="1"/>
  <c r="B19" i="12"/>
  <c r="D19" i="12"/>
  <c r="I26" i="11"/>
  <c r="O38" i="12" l="1"/>
  <c r="D26" i="12"/>
  <c r="D22" i="12"/>
  <c r="D21" i="12"/>
  <c r="D24" i="12"/>
  <c r="D25" i="12"/>
  <c r="B21" i="12"/>
  <c r="B26" i="12"/>
  <c r="B24" i="12"/>
  <c r="B25" i="12"/>
  <c r="O37" i="12"/>
  <c r="O34" i="12"/>
  <c r="O39" i="12"/>
  <c r="O35" i="12"/>
  <c r="B22" i="12"/>
  <c r="E19" i="12"/>
  <c r="H26" i="11"/>
  <c r="I27" i="11" s="1"/>
  <c r="I29" i="11" s="1"/>
  <c r="I31" i="11" l="1"/>
  <c r="I30" i="11"/>
  <c r="E26" i="12"/>
  <c r="E21" i="12"/>
  <c r="E22" i="12"/>
  <c r="E25" i="12"/>
  <c r="E24" i="12"/>
  <c r="F19" i="12"/>
  <c r="F22" i="12" l="1"/>
  <c r="F26" i="12"/>
  <c r="F21" i="12"/>
  <c r="F24" i="12"/>
  <c r="F25" i="12"/>
  <c r="G19" i="12"/>
  <c r="U21" i="11"/>
  <c r="L6" i="11"/>
  <c r="U26" i="22" s="1"/>
  <c r="U44" i="11" l="1"/>
  <c r="X44" i="11"/>
  <c r="G25" i="12"/>
  <c r="G26" i="12"/>
  <c r="G24" i="12"/>
  <c r="G21" i="12"/>
  <c r="G22" i="12"/>
  <c r="H19" i="12"/>
  <c r="H22" i="12" l="1"/>
  <c r="H25" i="12"/>
  <c r="H21" i="12"/>
  <c r="H24" i="12"/>
  <c r="H26" i="12"/>
  <c r="I19" i="12"/>
  <c r="F27" i="11"/>
  <c r="I25" i="12" l="1"/>
  <c r="I22" i="12"/>
  <c r="I26" i="12"/>
  <c r="I21" i="12"/>
  <c r="I24" i="12"/>
  <c r="J19" i="12"/>
  <c r="C27" i="11"/>
  <c r="F34" i="11"/>
  <c r="L34" i="11"/>
  <c r="O34" i="11"/>
  <c r="R34" i="11"/>
  <c r="U34" i="11"/>
  <c r="C25" i="11"/>
  <c r="C24" i="11"/>
  <c r="C22" i="11"/>
  <c r="I23" i="12" s="1"/>
  <c r="L26" i="11" l="1"/>
  <c r="L27" i="11" s="1"/>
  <c r="L29" i="11" s="1"/>
  <c r="L31" i="11" s="1"/>
  <c r="L28" i="11"/>
  <c r="X26" i="11"/>
  <c r="X27" i="11" s="1"/>
  <c r="X29" i="11" s="1"/>
  <c r="O26" i="11"/>
  <c r="U26" i="11"/>
  <c r="U27" i="11" s="1"/>
  <c r="U29" i="11" s="1"/>
  <c r="R28" i="11"/>
  <c r="R26" i="11"/>
  <c r="R27" i="11" s="1"/>
  <c r="R29" i="11" s="1"/>
  <c r="X28" i="11"/>
  <c r="E36" i="12"/>
  <c r="E40" i="12" s="1"/>
  <c r="L36" i="12"/>
  <c r="L40" i="12" s="1"/>
  <c r="J36" i="12"/>
  <c r="J40" i="12" s="1"/>
  <c r="K36" i="12"/>
  <c r="K40" i="12" s="1"/>
  <c r="H36" i="12"/>
  <c r="H40" i="12" s="1"/>
  <c r="M36" i="12"/>
  <c r="M40" i="12" s="1"/>
  <c r="D36" i="12"/>
  <c r="D40" i="12" s="1"/>
  <c r="I36" i="12"/>
  <c r="C23" i="12"/>
  <c r="C27" i="12" s="1"/>
  <c r="G36" i="12"/>
  <c r="G40" i="12" s="1"/>
  <c r="C36" i="12"/>
  <c r="C40" i="12" s="1"/>
  <c r="F36" i="12"/>
  <c r="F40" i="12" s="1"/>
  <c r="D23" i="12"/>
  <c r="D27" i="12" s="1"/>
  <c r="E23" i="12"/>
  <c r="E27" i="12" s="1"/>
  <c r="F23" i="12"/>
  <c r="F27" i="12" s="1"/>
  <c r="G23" i="12"/>
  <c r="G27" i="12" s="1"/>
  <c r="H23" i="12"/>
  <c r="H27" i="12" s="1"/>
  <c r="J24" i="12"/>
  <c r="J25" i="12"/>
  <c r="J23" i="12"/>
  <c r="J26" i="12"/>
  <c r="J22" i="12"/>
  <c r="J21" i="12"/>
  <c r="I27" i="12"/>
  <c r="B36" i="12"/>
  <c r="B40" i="12" s="1"/>
  <c r="B23" i="12"/>
  <c r="B27" i="12" s="1"/>
  <c r="K19" i="12"/>
  <c r="O27" i="11"/>
  <c r="R44" i="11"/>
  <c r="O44" i="11"/>
  <c r="L44" i="11"/>
  <c r="F44" i="11"/>
  <c r="N26" i="22"/>
  <c r="K26" i="22"/>
  <c r="H26" i="22"/>
  <c r="B26" i="22"/>
  <c r="R26" i="22"/>
  <c r="U28" i="11"/>
  <c r="B1" i="21"/>
  <c r="B2" i="21" s="1"/>
  <c r="O29" i="11" l="1"/>
  <c r="O30" i="11" s="1"/>
  <c r="X30" i="11"/>
  <c r="X31" i="11"/>
  <c r="U20" i="22"/>
  <c r="R20" i="22"/>
  <c r="K21" i="12"/>
  <c r="K25" i="12"/>
  <c r="K24" i="12"/>
  <c r="K22" i="12"/>
  <c r="K23" i="12"/>
  <c r="K26" i="12"/>
  <c r="O36" i="12"/>
  <c r="I40" i="12"/>
  <c r="O40" i="12" s="1"/>
  <c r="L19" i="12"/>
  <c r="M19" i="12"/>
  <c r="J27" i="12"/>
  <c r="R31" i="11"/>
  <c r="U31" i="11"/>
  <c r="F32" i="11"/>
  <c r="B4" i="21" s="1"/>
  <c r="O31" i="11" l="1"/>
  <c r="X32" i="11"/>
  <c r="U23" i="22" s="1"/>
  <c r="V33" i="22" s="1"/>
  <c r="U30" i="11"/>
  <c r="R30" i="11"/>
  <c r="M23" i="12"/>
  <c r="M21" i="12"/>
  <c r="M26" i="12"/>
  <c r="M22" i="12"/>
  <c r="M25" i="12"/>
  <c r="M24" i="12"/>
  <c r="L26" i="12"/>
  <c r="L25" i="12"/>
  <c r="L21" i="12"/>
  <c r="L22" i="12"/>
  <c r="L23" i="12"/>
  <c r="L24" i="12"/>
  <c r="K27" i="12"/>
  <c r="X33" i="11"/>
  <c r="E20" i="22"/>
  <c r="B5" i="21"/>
  <c r="B7" i="21" s="1"/>
  <c r="B20" i="22"/>
  <c r="C33" i="22" s="1"/>
  <c r="F41" i="11"/>
  <c r="I41" i="11"/>
  <c r="N20" i="22"/>
  <c r="B10" i="21" l="1"/>
  <c r="B11" i="21"/>
  <c r="L30" i="11"/>
  <c r="X35" i="11"/>
  <c r="X41" i="11" s="1"/>
  <c r="O25" i="12"/>
  <c r="C18" i="19" s="1"/>
  <c r="O23" i="12"/>
  <c r="C16" i="19" s="1"/>
  <c r="X21" i="11" s="1"/>
  <c r="O26" i="12"/>
  <c r="O22" i="12"/>
  <c r="C15" i="19" s="1"/>
  <c r="X20" i="11" s="1"/>
  <c r="L27" i="12"/>
  <c r="M27" i="12"/>
  <c r="O21" i="12"/>
  <c r="C14" i="19" s="1"/>
  <c r="X19" i="11" s="1"/>
  <c r="O24" i="12"/>
  <c r="C17" i="19" s="1"/>
  <c r="U32" i="11"/>
  <c r="R23" i="22" s="1"/>
  <c r="S33" i="22" s="1"/>
  <c r="F33" i="22"/>
  <c r="O28" i="11"/>
  <c r="K20" i="22" s="1"/>
  <c r="I32" i="11" l="1"/>
  <c r="C19" i="19"/>
  <c r="X23" i="11" s="1"/>
  <c r="X22" i="11"/>
  <c r="O27" i="12"/>
  <c r="C20" i="19" s="1"/>
  <c r="B12" i="21"/>
  <c r="C22" i="19" s="1"/>
  <c r="F25" i="11" s="1"/>
  <c r="B17" i="22" s="1"/>
  <c r="B30" i="22" s="1"/>
  <c r="B36" i="22" s="1"/>
  <c r="U33" i="11"/>
  <c r="U35" i="11" s="1"/>
  <c r="U41" i="11" s="1"/>
  <c r="O20" i="11"/>
  <c r="X24" i="11" l="1"/>
  <c r="X25" i="11" s="1"/>
  <c r="X38" i="11" s="1"/>
  <c r="C32" i="22"/>
  <c r="F38" i="11"/>
  <c r="F47" i="11" s="1"/>
  <c r="F50" i="11" s="1"/>
  <c r="H20" i="22"/>
  <c r="C3" i="12"/>
  <c r="D3" i="12"/>
  <c r="E3" i="12"/>
  <c r="F3" i="12"/>
  <c r="G3" i="12"/>
  <c r="H3" i="12"/>
  <c r="I3" i="12"/>
  <c r="J3" i="12"/>
  <c r="K3" i="12"/>
  <c r="L3" i="12"/>
  <c r="M3" i="12"/>
  <c r="B2" i="12"/>
  <c r="C2" i="12" s="1"/>
  <c r="D2" i="12" s="1"/>
  <c r="E2" i="12" s="1"/>
  <c r="F2" i="12" s="1"/>
  <c r="G2" i="12" s="1"/>
  <c r="H2" i="12" s="1"/>
  <c r="I2" i="12" s="1"/>
  <c r="J2" i="12" s="1"/>
  <c r="K2" i="12" s="1"/>
  <c r="L2" i="12" s="1"/>
  <c r="M2" i="12" s="1"/>
  <c r="B3" i="12"/>
  <c r="M3" i="16"/>
  <c r="L3" i="16"/>
  <c r="K3" i="16"/>
  <c r="J3" i="16"/>
  <c r="I3" i="16"/>
  <c r="H3" i="16"/>
  <c r="G3" i="16"/>
  <c r="F3" i="16"/>
  <c r="E3" i="16"/>
  <c r="D3" i="16"/>
  <c r="C3" i="16"/>
  <c r="B3" i="16"/>
  <c r="B2" i="16"/>
  <c r="M3" i="14"/>
  <c r="L3" i="14"/>
  <c r="K3" i="14"/>
  <c r="J3" i="14"/>
  <c r="I3" i="14"/>
  <c r="H3" i="14"/>
  <c r="G3" i="14"/>
  <c r="F3" i="14"/>
  <c r="E3" i="14"/>
  <c r="D3" i="14"/>
  <c r="C3" i="14"/>
  <c r="B3" i="14"/>
  <c r="B2" i="14"/>
  <c r="C2" i="14" s="1"/>
  <c r="L20" i="11"/>
  <c r="X47" i="11" l="1"/>
  <c r="X50" i="11" s="1"/>
  <c r="U17" i="22"/>
  <c r="O32" i="11"/>
  <c r="M4" i="12"/>
  <c r="M8" i="12" s="1"/>
  <c r="E4" i="12"/>
  <c r="E11" i="12" s="1"/>
  <c r="L4" i="12"/>
  <c r="L6" i="12" s="1"/>
  <c r="D4" i="12"/>
  <c r="D6" i="12" s="1"/>
  <c r="B4" i="12"/>
  <c r="B6" i="12" s="1"/>
  <c r="G4" i="12"/>
  <c r="G8" i="12" s="1"/>
  <c r="J4" i="12"/>
  <c r="J9" i="12" s="1"/>
  <c r="F4" i="12"/>
  <c r="F8" i="12" s="1"/>
  <c r="I4" i="12"/>
  <c r="I8" i="12" s="1"/>
  <c r="B4" i="16"/>
  <c r="C2" i="16"/>
  <c r="C4" i="16" s="1"/>
  <c r="H4" i="12"/>
  <c r="H11" i="12" s="1"/>
  <c r="K4" i="12"/>
  <c r="K6" i="12" s="1"/>
  <c r="C4" i="12"/>
  <c r="C6" i="12" s="1"/>
  <c r="O3" i="12"/>
  <c r="O4" i="12" s="1"/>
  <c r="D2" i="14"/>
  <c r="C4" i="14"/>
  <c r="B4" i="14"/>
  <c r="V32" i="22" l="1"/>
  <c r="U30" i="22"/>
  <c r="U36" i="22" s="1"/>
  <c r="O33" i="11"/>
  <c r="O35" i="11" s="1"/>
  <c r="O41" i="11" s="1"/>
  <c r="K23" i="22"/>
  <c r="L33" i="22" s="1"/>
  <c r="R32" i="11"/>
  <c r="N23" i="22" s="1"/>
  <c r="F10" i="12"/>
  <c r="I6" i="12"/>
  <c r="E10" i="12"/>
  <c r="J10" i="12"/>
  <c r="D11" i="12"/>
  <c r="D10" i="12"/>
  <c r="I11" i="12"/>
  <c r="F11" i="12"/>
  <c r="D9" i="12"/>
  <c r="F6" i="12"/>
  <c r="I10" i="12"/>
  <c r="I7" i="12"/>
  <c r="B7" i="12"/>
  <c r="M10" i="12"/>
  <c r="B9" i="12"/>
  <c r="H6" i="12"/>
  <c r="I9" i="12"/>
  <c r="M7" i="12"/>
  <c r="M11" i="12"/>
  <c r="K11" i="12"/>
  <c r="K7" i="12"/>
  <c r="L7" i="12"/>
  <c r="L10" i="12"/>
  <c r="J8" i="12"/>
  <c r="L9" i="12"/>
  <c r="G10" i="12"/>
  <c r="L8" i="12"/>
  <c r="F9" i="12"/>
  <c r="L11" i="12"/>
  <c r="B8" i="12"/>
  <c r="C11" i="12"/>
  <c r="B11" i="12"/>
  <c r="B10" i="12"/>
  <c r="J11" i="12"/>
  <c r="C10" i="12"/>
  <c r="E9" i="12"/>
  <c r="K9" i="12"/>
  <c r="D7" i="12"/>
  <c r="C7" i="12"/>
  <c r="G6" i="12"/>
  <c r="C8" i="12"/>
  <c r="E7" i="12"/>
  <c r="M9" i="12"/>
  <c r="D8" i="12"/>
  <c r="C9" i="12"/>
  <c r="G9" i="12"/>
  <c r="E8" i="12"/>
  <c r="E6" i="12"/>
  <c r="J7" i="12"/>
  <c r="M6" i="12"/>
  <c r="F7" i="12"/>
  <c r="J6" i="12"/>
  <c r="K8" i="12"/>
  <c r="G11" i="12"/>
  <c r="K10" i="12"/>
  <c r="G7" i="12"/>
  <c r="D2" i="16"/>
  <c r="E2" i="16" s="1"/>
  <c r="H7" i="12"/>
  <c r="H8" i="12"/>
  <c r="H9" i="12"/>
  <c r="H10" i="12"/>
  <c r="E2" i="14"/>
  <c r="D4" i="14"/>
  <c r="C7" i="16"/>
  <c r="B7" i="16"/>
  <c r="B7" i="14"/>
  <c r="B13" i="14" s="1"/>
  <c r="C7" i="14"/>
  <c r="C13" i="14" s="1"/>
  <c r="R33" i="11" l="1"/>
  <c r="R35" i="11" s="1"/>
  <c r="P33" i="22"/>
  <c r="E23" i="22"/>
  <c r="E30" i="22" s="1"/>
  <c r="L32" i="11"/>
  <c r="E12" i="12"/>
  <c r="M12" i="12"/>
  <c r="F12" i="12"/>
  <c r="L12" i="12"/>
  <c r="I12" i="12"/>
  <c r="B12" i="12"/>
  <c r="D12" i="12"/>
  <c r="J12" i="12"/>
  <c r="O6" i="12"/>
  <c r="C6" i="19" s="1"/>
  <c r="G12" i="12"/>
  <c r="K12" i="12"/>
  <c r="O9" i="12"/>
  <c r="C9" i="19" s="1"/>
  <c r="O7" i="12"/>
  <c r="C7" i="19" s="1"/>
  <c r="C12" i="12"/>
  <c r="O8" i="12"/>
  <c r="C8" i="19" s="1"/>
  <c r="H12" i="12"/>
  <c r="O11" i="12"/>
  <c r="C11" i="19" s="1"/>
  <c r="O10" i="12"/>
  <c r="C10" i="19" s="1"/>
  <c r="D4" i="16"/>
  <c r="D7" i="16" s="1"/>
  <c r="D8" i="16" s="1"/>
  <c r="E4" i="16"/>
  <c r="F2" i="16"/>
  <c r="E4" i="14"/>
  <c r="F2" i="14"/>
  <c r="B8" i="16"/>
  <c r="B9" i="16"/>
  <c r="C8" i="14"/>
  <c r="C9" i="14"/>
  <c r="B9" i="14"/>
  <c r="B8" i="14"/>
  <c r="C8" i="16"/>
  <c r="C9" i="16"/>
  <c r="L33" i="11" l="1"/>
  <c r="L35" i="11" s="1"/>
  <c r="L41" i="11" s="1"/>
  <c r="H23" i="22"/>
  <c r="I33" i="22" s="1"/>
  <c r="I38" i="11"/>
  <c r="R41" i="11"/>
  <c r="U22" i="11"/>
  <c r="R23" i="11"/>
  <c r="U23" i="11"/>
  <c r="R19" i="11"/>
  <c r="U19" i="11"/>
  <c r="R20" i="11"/>
  <c r="U20" i="11"/>
  <c r="R21" i="11"/>
  <c r="R22" i="11"/>
  <c r="O12" i="12"/>
  <c r="C12" i="19" s="1"/>
  <c r="D9" i="16"/>
  <c r="D10" i="16" s="1"/>
  <c r="D11" i="16" s="1"/>
  <c r="G2" i="16"/>
  <c r="F4" i="16"/>
  <c r="F7" i="16" s="1"/>
  <c r="F4" i="14"/>
  <c r="G2" i="14"/>
  <c r="B10" i="16"/>
  <c r="B11" i="16" s="1"/>
  <c r="C10" i="16"/>
  <c r="C11" i="16" s="1"/>
  <c r="C10" i="14"/>
  <c r="B10" i="14"/>
  <c r="E7" i="16"/>
  <c r="E7" i="14"/>
  <c r="E13" i="14" s="1"/>
  <c r="D7" i="14"/>
  <c r="D13" i="14" s="1"/>
  <c r="I47" i="11" l="1"/>
  <c r="I50" i="11" s="1"/>
  <c r="E36" i="22"/>
  <c r="F32" i="22"/>
  <c r="B11" i="14"/>
  <c r="B14" i="14" s="1"/>
  <c r="C11" i="14"/>
  <c r="C14" i="14" s="1"/>
  <c r="U24" i="11"/>
  <c r="U25" i="11" s="1"/>
  <c r="R24" i="11"/>
  <c r="R25" i="11" s="1"/>
  <c r="H2" i="16"/>
  <c r="G4" i="16"/>
  <c r="H2" i="14"/>
  <c r="G4" i="14"/>
  <c r="E9" i="16"/>
  <c r="E8" i="16"/>
  <c r="E8" i="14"/>
  <c r="E9" i="14"/>
  <c r="F9" i="16"/>
  <c r="F8" i="16"/>
  <c r="D8" i="14"/>
  <c r="D9" i="14"/>
  <c r="R17" i="22" l="1"/>
  <c r="R30" i="22" s="1"/>
  <c r="N17" i="22"/>
  <c r="N30" i="22" s="1"/>
  <c r="N36" i="22" s="1"/>
  <c r="U38" i="11"/>
  <c r="U47" i="11" s="1"/>
  <c r="U50" i="11" s="1"/>
  <c r="R38" i="11"/>
  <c r="I2" i="16"/>
  <c r="H4" i="16"/>
  <c r="I2" i="14"/>
  <c r="H4" i="14"/>
  <c r="F10" i="16"/>
  <c r="F11" i="16" s="1"/>
  <c r="E10" i="16"/>
  <c r="E11" i="16" s="1"/>
  <c r="E10" i="14"/>
  <c r="D10" i="14"/>
  <c r="G7" i="16"/>
  <c r="F7" i="14"/>
  <c r="F13" i="14" s="1"/>
  <c r="P32" i="22" l="1"/>
  <c r="R47" i="11"/>
  <c r="R50" i="11" s="1"/>
  <c r="R36" i="22"/>
  <c r="S32" i="22"/>
  <c r="D11" i="14"/>
  <c r="D14" i="14" s="1"/>
  <c r="E11" i="14"/>
  <c r="E14" i="14" s="1"/>
  <c r="J2" i="16"/>
  <c r="I4" i="16"/>
  <c r="J2" i="14"/>
  <c r="I4" i="14"/>
  <c r="G8" i="16"/>
  <c r="G9" i="16"/>
  <c r="F8" i="14"/>
  <c r="F9" i="14"/>
  <c r="H7" i="16"/>
  <c r="G7" i="14"/>
  <c r="G13" i="14" s="1"/>
  <c r="J4" i="16" l="1"/>
  <c r="K2" i="16"/>
  <c r="K2" i="14"/>
  <c r="J4" i="14"/>
  <c r="F10" i="14"/>
  <c r="G10" i="16"/>
  <c r="G11" i="16" s="1"/>
  <c r="H8" i="16"/>
  <c r="H9" i="16"/>
  <c r="G9" i="14"/>
  <c r="G8" i="14"/>
  <c r="I7" i="16"/>
  <c r="H7" i="14"/>
  <c r="H13" i="14" s="1"/>
  <c r="I7" i="14"/>
  <c r="I13" i="14" s="1"/>
  <c r="F11" i="14" l="1"/>
  <c r="F14" i="14" s="1"/>
  <c r="L2" i="16"/>
  <c r="K4" i="16"/>
  <c r="K7" i="16" s="1"/>
  <c r="L2" i="14"/>
  <c r="K4" i="14"/>
  <c r="H10" i="16"/>
  <c r="H11" i="16" s="1"/>
  <c r="G10" i="14"/>
  <c r="I9" i="14"/>
  <c r="I8" i="14"/>
  <c r="I8" i="16"/>
  <c r="I9" i="16"/>
  <c r="H9" i="14"/>
  <c r="H8" i="14"/>
  <c r="J7" i="16"/>
  <c r="G11" i="14" l="1"/>
  <c r="G14" i="14" s="1"/>
  <c r="M2" i="16"/>
  <c r="M4" i="16" s="1"/>
  <c r="L4" i="16"/>
  <c r="M2" i="14"/>
  <c r="M4" i="14" s="1"/>
  <c r="L4" i="14"/>
  <c r="H10" i="14"/>
  <c r="K9" i="16"/>
  <c r="K8" i="16"/>
  <c r="J8" i="16"/>
  <c r="J9" i="16"/>
  <c r="I10" i="14"/>
  <c r="I10" i="16"/>
  <c r="I11" i="16" s="1"/>
  <c r="O3" i="14"/>
  <c r="J7" i="14"/>
  <c r="J13" i="14" s="1"/>
  <c r="H11" i="14" l="1"/>
  <c r="H14" i="14" s="1"/>
  <c r="I11" i="14"/>
  <c r="I14" i="14" s="1"/>
  <c r="O2" i="16"/>
  <c r="K10" i="16"/>
  <c r="K11" i="16" s="1"/>
  <c r="J10" i="16"/>
  <c r="J11" i="16" s="1"/>
  <c r="J8" i="14"/>
  <c r="J9" i="14"/>
  <c r="O3" i="16"/>
  <c r="L7" i="16"/>
  <c r="K7" i="14"/>
  <c r="K13" i="14" s="1"/>
  <c r="J10" i="14" l="1"/>
  <c r="K8" i="14"/>
  <c r="K9" i="14"/>
  <c r="L9" i="16"/>
  <c r="L8" i="16"/>
  <c r="M7" i="16"/>
  <c r="O4" i="16"/>
  <c r="L7" i="14"/>
  <c r="L13" i="14" s="1"/>
  <c r="O2" i="14"/>
  <c r="J11" i="14" l="1"/>
  <c r="J14" i="14" s="1"/>
  <c r="L10" i="16"/>
  <c r="L11" i="16" s="1"/>
  <c r="L8" i="14"/>
  <c r="L9" i="14"/>
  <c r="M9" i="16"/>
  <c r="M8" i="16"/>
  <c r="K10" i="14"/>
  <c r="M7" i="14"/>
  <c r="M13" i="14" s="1"/>
  <c r="O4" i="14"/>
  <c r="K11" i="14" l="1"/>
  <c r="K14" i="14" s="1"/>
  <c r="M10" i="16"/>
  <c r="M11" i="16" s="1"/>
  <c r="O11" i="16" s="1"/>
  <c r="C3" i="19" s="1"/>
  <c r="O19" i="11" s="1"/>
  <c r="O24" i="11" s="1"/>
  <c r="O25" i="11" s="1"/>
  <c r="K17" i="22" s="1"/>
  <c r="K30" i="22" s="1"/>
  <c r="L10" i="14"/>
  <c r="M8" i="14"/>
  <c r="M9" i="14"/>
  <c r="K36" i="22" l="1"/>
  <c r="L32" i="22"/>
  <c r="L11" i="14"/>
  <c r="L14" i="14" s="1"/>
  <c r="O38" i="11"/>
  <c r="M10" i="14"/>
  <c r="O47" i="11" l="1"/>
  <c r="O50" i="11" s="1"/>
  <c r="M11" i="14"/>
  <c r="O11" i="14" l="1"/>
  <c r="C2" i="19" s="1"/>
  <c r="L19" i="11" s="1"/>
  <c r="L24" i="11" s="1"/>
  <c r="L25" i="11" s="1"/>
  <c r="H17" i="22" s="1"/>
  <c r="H30" i="22" s="1"/>
  <c r="M14" i="14"/>
  <c r="O14" i="14" s="1"/>
  <c r="Q6" i="11" s="1"/>
  <c r="K8" i="11" s="1"/>
  <c r="K14" i="11" s="1"/>
  <c r="H38" i="22" s="1"/>
  <c r="I24" i="11"/>
  <c r="I25" i="11" s="1"/>
  <c r="L38" i="11" l="1"/>
  <c r="L47" i="11" l="1"/>
  <c r="L50" i="11" s="1"/>
  <c r="H36" i="22"/>
  <c r="I32" i="22"/>
</calcChain>
</file>

<file path=xl/sharedStrings.xml><?xml version="1.0" encoding="utf-8"?>
<sst xmlns="http://schemas.openxmlformats.org/spreadsheetml/2006/main" count="416" uniqueCount="142">
  <si>
    <t>FATURAMENTO</t>
  </si>
  <si>
    <t>VENDA</t>
  </si>
  <si>
    <t>SERVIÇOS</t>
  </si>
  <si>
    <t>ALÍQUOTA</t>
  </si>
  <si>
    <t>SIMPLES DAS</t>
  </si>
  <si>
    <t>Rec Bruta últ 12 meses</t>
  </si>
  <si>
    <t>DEDUÇÃO</t>
  </si>
  <si>
    <t>ALÍQ EFETIVA</t>
  </si>
  <si>
    <t>Faixa</t>
  </si>
  <si>
    <t>Alíquota</t>
  </si>
  <si>
    <t>Valor a Deduzir (em R$)</t>
  </si>
  <si>
    <t>Receita Bruta em 12 Meses (em R$)</t>
  </si>
  <si>
    <t>1a Faixa</t>
  </si>
  <si>
    <t>–</t>
  </si>
  <si>
    <t>Até 180.000,00</t>
  </si>
  <si>
    <t>2a Faixa</t>
  </si>
  <si>
    <t>De 180.000,01 a 360.000,00</t>
  </si>
  <si>
    <t>3a Faixa</t>
  </si>
  <si>
    <t>De 360.000,01 a 720.000,00</t>
  </si>
  <si>
    <t>4a Faixa</t>
  </si>
  <si>
    <t>De 720.000,01 a 1.800.000,00</t>
  </si>
  <si>
    <t>5a Faixa</t>
  </si>
  <si>
    <t>De 1.800.000,01 a 3.600.000,00</t>
  </si>
  <si>
    <t>6a Faixa</t>
  </si>
  <si>
    <t>De 3.600.000,01 a 4.800.000,00</t>
  </si>
  <si>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</si>
  <si>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</si>
  <si>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</si>
  <si>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</si>
  <si>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</si>
  <si>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</si>
  <si>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</si>
  <si>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</si>
  <si>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</si>
  <si>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</si>
  <si>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</si>
  <si>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</si>
  <si>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TOTAL</t>
  </si>
  <si>
    <t>ANEXO 3 – Tabela Simples Nacional 2018 – Serviços</t>
  </si>
  <si>
    <t>ANEXO 5 – Tabela Simples Nacional 2018 – Serviços</t>
  </si>
  <si>
    <t>PIS</t>
  </si>
  <si>
    <t>COFINS</t>
  </si>
  <si>
    <t>ISS</t>
  </si>
  <si>
    <t>IRPJ</t>
  </si>
  <si>
    <t>LUCRO PRESUMIDO</t>
  </si>
  <si>
    <t>ADCIONAL IRPJ</t>
  </si>
  <si>
    <t>CSLL</t>
  </si>
  <si>
    <t>PRESUMIDO</t>
  </si>
  <si>
    <t>BASE DE CÁLCULO IR</t>
  </si>
  <si>
    <t>BASE DE CÁLCULO CS</t>
  </si>
  <si>
    <t>Anexo 3</t>
  </si>
  <si>
    <t>Anexo 5</t>
  </si>
  <si>
    <t>IR</t>
  </si>
  <si>
    <t>Presumido</t>
  </si>
  <si>
    <t>QTD SÓCIOS</t>
  </si>
  <si>
    <t>INSS</t>
  </si>
  <si>
    <t>alíquota</t>
  </si>
  <si>
    <t>dedução</t>
  </si>
  <si>
    <t>faixa</t>
  </si>
  <si>
    <t>Impostos sobre 
pró-labore</t>
  </si>
  <si>
    <t>INSS PARTE 
EMPRESA</t>
  </si>
  <si>
    <t>DAS MÊS</t>
  </si>
  <si>
    <t>DAS ANO</t>
  </si>
  <si>
    <t>Impostos Ano</t>
  </si>
  <si>
    <t>Impostos Mês</t>
  </si>
  <si>
    <t>SÓCIOS</t>
  </si>
  <si>
    <t>Impostos sobre 
pró-labore TOTAL</t>
  </si>
  <si>
    <t>PRÓ-LABORE opção 3</t>
  </si>
  <si>
    <t>SIMPLES NACIONAL 
ANEXO 5</t>
  </si>
  <si>
    <t>SIMPLES NACIONAL 
ANEXO 3</t>
  </si>
  <si>
    <t>CLT</t>
  </si>
  <si>
    <t>PRÓ LABORE OBRIGATÓRIO</t>
  </si>
  <si>
    <t>CARNÊ LEÃO</t>
  </si>
  <si>
    <t>Despesas Dedutíveis</t>
  </si>
  <si>
    <t>DESP. DEDUTÍVEL</t>
  </si>
  <si>
    <t>LÍQUIDO</t>
  </si>
  <si>
    <t>Carnê Leão</t>
  </si>
  <si>
    <t>Impostos Mês (IR)</t>
  </si>
  <si>
    <t>DESPESA MENSAL</t>
  </si>
  <si>
    <t>PLANEJAMENTO TRIBUTÁRIO MÉDICO</t>
  </si>
  <si>
    <t>ATUANDO COMO PF ou CLT</t>
  </si>
  <si>
    <t>ATUANDO COMO PJ</t>
  </si>
  <si>
    <t>CPP</t>
  </si>
  <si>
    <t>VALOR DE IMPOSTO A PAGAR</t>
  </si>
  <si>
    <t>IMPOSTOS SOBRE PRÓ LABORE</t>
  </si>
  <si>
    <t>VALOR DE IMPOSTOS</t>
  </si>
  <si>
    <t>ALÍQUOTA EFETIVA</t>
  </si>
  <si>
    <t>VALOR DE DAS A PAGAR</t>
  </si>
  <si>
    <t>CPP R$</t>
  </si>
  <si>
    <t>CPP %</t>
  </si>
  <si>
    <t>FGTS 8%</t>
  </si>
  <si>
    <t>LUCRO PRESUMIDO 
UNIPROFISSIONAL</t>
  </si>
  <si>
    <t>PRÓ LABORE LP ou ANEXO 5</t>
  </si>
  <si>
    <t>PRÓ-LABORE opção 5 ou LP</t>
  </si>
  <si>
    <t>FATURAMENTO SERVIÇOS</t>
  </si>
  <si>
    <t>Base de INSS Carnê Leão</t>
  </si>
  <si>
    <t>FATURAMENTO MENSAL</t>
  </si>
  <si>
    <t>DAS a pagar:</t>
  </si>
  <si>
    <t>INSS Pró-Labore:</t>
  </si>
  <si>
    <t>IRRF Pró-Labore:</t>
  </si>
  <si>
    <t>Impostos a Pagar:</t>
  </si>
  <si>
    <t>ALÍQUOTA FINAL EFETIVA</t>
  </si>
  <si>
    <t>IR Carnê Leão a pagar:</t>
  </si>
  <si>
    <t>Impostos:</t>
  </si>
  <si>
    <t>INSS Salário:</t>
  </si>
  <si>
    <t>IR Salário:</t>
  </si>
  <si>
    <t>IMPOSTOS A PAGAR:</t>
  </si>
  <si>
    <t>JÁ RECOLHE INSS NO TETO?</t>
  </si>
  <si>
    <t>FOLHA DE PAGAMENTO</t>
  </si>
  <si>
    <t>DADOS DA EMPRESA</t>
  </si>
  <si>
    <t>ALÍQ IR</t>
  </si>
  <si>
    <t>ALÍQ INSS</t>
  </si>
  <si>
    <t>ALÍQ DAS</t>
  </si>
  <si>
    <t>ALÍQ INSS + IR</t>
  </si>
  <si>
    <t>+</t>
  </si>
  <si>
    <t>ALÍQ IMPOSTO</t>
  </si>
  <si>
    <t>FOLHA</t>
  </si>
  <si>
    <t>INSS + FGTS Folha</t>
  </si>
  <si>
    <t>INSS + 3º + RAT + FAP</t>
  </si>
  <si>
    <t>IMPOSTOS SOBRE FOLHA</t>
  </si>
  <si>
    <t>INSS CARNÊ LEÃO 20%</t>
  </si>
  <si>
    <t>INSS CARNÊ LEÃO 11% SM</t>
  </si>
  <si>
    <t>QUAL OPÇÃO PLANO DE INSS?</t>
  </si>
  <si>
    <t>PF E PJ - COD 1007 - 20% REND</t>
  </si>
  <si>
    <t>PF - COD 1163 - 11% SAL MÍN</t>
  </si>
  <si>
    <t>salário mínimo</t>
  </si>
  <si>
    <t>teto máximo do INSS</t>
  </si>
  <si>
    <t>teto da contrib clt</t>
  </si>
  <si>
    <t>teto da contrib inss pró labore</t>
  </si>
  <si>
    <r>
      <t xml:space="preserve">PRÓ LABORE • </t>
    </r>
    <r>
      <rPr>
        <sz val="13"/>
        <color rgb="FF034858"/>
        <rFont val="Calibri"/>
        <family val="2"/>
        <scheme val="minor"/>
      </rPr>
      <t>ANEXO 5 ou LP</t>
    </r>
  </si>
  <si>
    <r>
      <t xml:space="preserve">PRÓ LABORE • </t>
    </r>
    <r>
      <rPr>
        <sz val="13"/>
        <color rgb="FF034858"/>
        <rFont val="Calibri"/>
        <family val="2"/>
        <scheme val="minor"/>
      </rPr>
      <t>ANEXO 3</t>
    </r>
  </si>
  <si>
    <t xml:space="preserve">NÃO RECOLHE </t>
  </si>
  <si>
    <t>LUCRO PRESUMIDO 
EQUIPARAÇÃO HOSP</t>
  </si>
  <si>
    <t>CONSULTA</t>
  </si>
  <si>
    <t>CIRURGIA/PROC/EXAME</t>
  </si>
  <si>
    <t>EQUIPARAÇÃO HOSPITALAR</t>
  </si>
  <si>
    <t>CIRURGIA</t>
  </si>
  <si>
    <t>Presumido Equip Hosp</t>
  </si>
  <si>
    <t>EQUIP
HOSP</t>
  </si>
  <si>
    <t>NÃO</t>
  </si>
  <si>
    <t>IRRF</t>
  </si>
  <si>
    <t>ISS UNIPROFISSIONAL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</si>
</sst>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7" formatCode="&quot;R$&quot;\ #,##0.00;\-&quot;R$&quot;\ #,##0.0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_(* #,##0_);_(* \(#,##0\);_(* &quot;-&quot;??_);_(@_)"/>
    <numFmt numFmtId="166" formatCode="&quot;R$&quot;\ #,##0.00"/>
    <numFmt numFmtId="167" formatCode="0.0%"/>
  </numFmts>
  <fonts count="9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20"/>
      <color theme="1"/>
      <name val="Arial"/>
      <family val="2"/>
    </font>
    <font>
      <b/>
      <sz val="24"/>
      <color theme="1"/>
      <name val="Arial"/>
      <family val="2"/>
    </font>
    <font>
      <b/>
      <sz val="14"/>
      <color rgb="FF002868"/>
      <name val="Lato"/>
      <family val="2"/>
    </font>
    <font>
      <b/>
      <sz val="14"/>
      <color theme="0"/>
      <name val="Arial"/>
      <family val="2"/>
    </font>
    <font>
      <sz val="14"/>
      <color theme="1"/>
      <name val="Arial"/>
      <family val="2"/>
    </font>
    <font>
      <b/>
      <sz val="20"/>
      <color theme="0"/>
      <name val="Arial"/>
      <family val="2"/>
    </font>
    <font>
      <sz val="20"/>
      <color theme="1"/>
      <name val="Arial"/>
      <family val="2"/>
    </font>
    <font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rgb="FF30455C"/>
      <name val="Lato"/>
      <family val="2"/>
    </font>
    <font>
      <b/>
      <sz val="11"/>
      <color theme="0"/>
      <name val="Arial"/>
      <family val="2"/>
    </font>
    <font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color theme="1"/>
      <name val="Poppins "/>
    </font>
    <font>
      <b/>
      <sz val="16"/>
      <color theme="1"/>
      <name val="Poppins "/>
    </font>
    <font>
      <b/>
      <sz val="48"/>
      <color theme="1"/>
      <name val="Poppins "/>
    </font>
    <font>
      <b/>
      <sz val="18"/>
      <color theme="1"/>
      <name val="Poppins "/>
    </font>
    <font>
      <sz val="16"/>
      <color theme="1"/>
      <name val="Poppins "/>
    </font>
    <font>
      <b/>
      <sz val="10"/>
      <color theme="3"/>
      <name val="Poppins "/>
    </font>
    <font>
      <b/>
      <sz val="20"/>
      <color theme="1"/>
      <name val="Poppins "/>
    </font>
    <font>
      <b/>
      <sz val="14"/>
      <color theme="1"/>
      <name val="Poppins "/>
    </font>
    <font>
      <b/>
      <sz val="11"/>
      <color theme="1"/>
      <name val="Poppins "/>
    </font>
    <font>
      <b/>
      <sz val="22"/>
      <color theme="0"/>
      <name val="Poppins "/>
    </font>
    <font>
      <b/>
      <sz val="36"/>
      <color theme="1"/>
      <name val="Poppins "/>
    </font>
    <font>
      <sz val="18"/>
      <color theme="1"/>
      <name val="Poppins "/>
    </font>
    <font>
      <sz val="14"/>
      <color theme="1"/>
      <name val="Poppins "/>
    </font>
    <font>
      <b/>
      <sz val="9"/>
      <color theme="1"/>
      <name val="Poppins "/>
    </font>
    <font>
      <b/>
      <sz val="11"/>
      <color rgb="FFFF0000"/>
      <name val="Poppins "/>
    </font>
    <font>
      <b/>
      <sz val="8"/>
      <color theme="1"/>
      <name val="Poppins "/>
    </font>
    <font>
      <sz val="8"/>
      <color theme="1"/>
      <name val="Poppins "/>
    </font>
    <font>
      <sz val="16"/>
      <color rgb="FFFF0000"/>
      <name val="Poppins "/>
    </font>
    <font>
      <b/>
      <sz val="16"/>
      <color rgb="FFFF0000"/>
      <name val="Poppins "/>
    </font>
    <font>
      <b/>
      <sz val="12"/>
      <color theme="1"/>
      <name val="Poppins "/>
    </font>
    <font>
      <b/>
      <sz val="14"/>
      <color rgb="FF0070C0"/>
      <name val="Calibri"/>
      <family val="2"/>
      <scheme val="minor"/>
    </font>
    <font>
      <b/>
      <sz val="18"/>
      <color rgb="FF00B050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11"/>
      <color theme="0"/>
      <name val="Poppins "/>
    </font>
    <font>
      <b/>
      <sz val="48"/>
      <color theme="0"/>
      <name val="Poppins "/>
    </font>
    <font>
      <b/>
      <sz val="28"/>
      <color theme="0" tint="-4.9989318521683403E-2"/>
      <name val="Calibri"/>
      <family val="2"/>
      <scheme val="minor"/>
    </font>
    <font>
      <b/>
      <sz val="36"/>
      <color theme="0" tint="-4.9989318521683403E-2"/>
      <name val="Calibri"/>
      <family val="2"/>
      <scheme val="minor"/>
    </font>
    <font>
      <b/>
      <sz val="16"/>
      <color theme="0" tint="-4.9989318521683403E-2"/>
      <name val="Poppins "/>
    </font>
    <font>
      <b/>
      <sz val="18"/>
      <color theme="1"/>
      <name val="Calibri"/>
      <family val="2"/>
      <scheme val="minor"/>
    </font>
    <font>
      <b/>
      <sz val="36"/>
      <color theme="0"/>
      <name val="Poppins "/>
    </font>
    <font>
      <sz val="24"/>
      <color theme="1"/>
      <name val="Poppins "/>
    </font>
    <font>
      <b/>
      <sz val="24"/>
      <color theme="1"/>
      <name val="Poppins "/>
    </font>
    <font>
      <b/>
      <sz val="12"/>
      <color rgb="FFFF0000"/>
      <name val="Poppins "/>
    </font>
    <font>
      <sz val="9"/>
      <color theme="1"/>
      <name val="Poppins "/>
    </font>
    <font>
      <b/>
      <sz val="9"/>
      <color theme="0"/>
      <name val="Poppins "/>
    </font>
    <font>
      <sz val="8"/>
      <color theme="0"/>
      <name val="Poppins "/>
    </font>
    <font>
      <sz val="12"/>
      <color theme="1"/>
      <name val="Calibri"/>
      <family val="2"/>
      <scheme val="minor"/>
    </font>
    <font>
      <b/>
      <sz val="24"/>
      <color theme="3"/>
      <name val="Poppins "/>
    </font>
    <font>
      <b/>
      <sz val="14"/>
      <color rgb="FFFF0000"/>
      <name val="Poppins "/>
    </font>
    <font>
      <b/>
      <sz val="20"/>
      <color rgb="FFFF0000"/>
      <name val="Calibri"/>
      <family val="2"/>
      <scheme val="minor"/>
    </font>
    <font>
      <b/>
      <sz val="12"/>
      <color theme="1"/>
      <name val="Arial"/>
      <family val="2"/>
    </font>
    <font>
      <b/>
      <sz val="16"/>
      <color theme="1"/>
      <name val="Arial"/>
      <family val="2"/>
    </font>
    <font>
      <sz val="11"/>
      <color rgb="FF0A1930"/>
      <name val="Poppins "/>
    </font>
    <font>
      <b/>
      <sz val="18"/>
      <color rgb="FF0A1930"/>
      <name val="Poppins "/>
    </font>
    <font>
      <b/>
      <sz val="16"/>
      <color rgb="FF0A1930"/>
      <name val="Poppins "/>
    </font>
    <font>
      <b/>
      <sz val="22"/>
      <color rgb="FF0A1930"/>
      <name val="Poppins "/>
    </font>
    <font>
      <sz val="11"/>
      <color rgb="FF0A1930"/>
      <name val="Calibri"/>
      <family val="2"/>
      <scheme val="minor"/>
    </font>
    <font>
      <b/>
      <sz val="18"/>
      <color rgb="FF0A1930"/>
      <name val="Calibri"/>
      <family val="2"/>
      <scheme val="minor"/>
    </font>
    <font>
      <b/>
      <sz val="16"/>
      <color rgb="FF0A1930"/>
      <name val="Calibri"/>
      <family val="2"/>
      <scheme val="minor"/>
    </font>
    <font>
      <b/>
      <sz val="18"/>
      <color rgb="FF3AD674"/>
      <name val="Calibri"/>
      <family val="2"/>
      <scheme val="minor"/>
    </font>
    <font>
      <sz val="11"/>
      <color rgb="FF3AD674"/>
      <name val="Poppins "/>
    </font>
    <font>
      <b/>
      <sz val="16"/>
      <color rgb="FF3AD674"/>
      <name val="Calibri"/>
      <family val="2"/>
      <scheme val="minor"/>
    </font>
    <font>
      <b/>
      <sz val="16"/>
      <color rgb="FF034858"/>
      <name val="Calibri"/>
      <family val="2"/>
      <scheme val="minor"/>
    </font>
    <font>
      <b/>
      <sz val="22"/>
      <color rgb="FF034858"/>
      <name val="Calibri"/>
      <family val="2"/>
      <scheme val="minor"/>
    </font>
    <font>
      <b/>
      <sz val="20"/>
      <color rgb="FF034858"/>
      <name val="Calibri"/>
      <family val="2"/>
      <scheme val="minor"/>
    </font>
    <font>
      <b/>
      <sz val="14"/>
      <color rgb="FF034858"/>
      <name val="Calibri"/>
      <family val="2"/>
      <scheme val="minor"/>
    </font>
    <font>
      <b/>
      <sz val="18"/>
      <color rgb="FF034858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4"/>
      <color rgb="FF3AD674"/>
      <name val="Calibri"/>
      <family val="2"/>
      <scheme val="minor"/>
    </font>
    <font>
      <sz val="16"/>
      <color rgb="FF3AD674"/>
      <name val="Calibri"/>
      <family val="2"/>
      <scheme val="minor"/>
    </font>
    <font>
      <b/>
      <sz val="18"/>
      <color rgb="FFFF4F4F"/>
      <name val="Calibri"/>
      <family val="2"/>
      <scheme val="minor"/>
    </font>
    <font>
      <b/>
      <sz val="11"/>
      <color rgb="FFFF4F4F"/>
      <name val="Calibri"/>
      <family val="2"/>
      <scheme val="minor"/>
    </font>
    <font>
      <b/>
      <sz val="10"/>
      <color rgb="FFFF4F4F"/>
      <name val="Calibri"/>
      <family val="2"/>
      <scheme val="minor"/>
    </font>
    <font>
      <b/>
      <sz val="13"/>
      <color rgb="FF034858"/>
      <name val="Calibri"/>
      <family val="2"/>
      <scheme val="minor"/>
    </font>
    <font>
      <sz val="13"/>
      <color rgb="FF034858"/>
      <name val="Calibri"/>
      <family val="2"/>
      <scheme val="minor"/>
    </font>
    <font>
      <b/>
      <sz val="16"/>
      <color rgb="FFF4F1F0"/>
      <name val="Calibri"/>
      <family val="2"/>
      <scheme val="minor"/>
    </font>
    <font>
      <b/>
      <sz val="14"/>
      <color rgb="FFF4F1F0"/>
      <name val="Calibri"/>
      <family val="2"/>
      <scheme val="minor"/>
    </font>
    <font>
      <b/>
      <sz val="18"/>
      <color rgb="FFF4F1F0"/>
      <name val="Calibri"/>
      <family val="2"/>
      <scheme val="minor"/>
    </font>
    <font>
      <b/>
      <sz val="12"/>
      <color rgb="FFF4F1F0"/>
      <name val="Calibri"/>
      <family val="2"/>
      <scheme val="minor"/>
    </font>
    <font>
      <sz val="12"/>
      <color rgb="FFF4F1F0"/>
      <name val="Calibri"/>
      <family val="2"/>
      <scheme val="minor"/>
    </font>
    <font>
      <sz val="11"/>
      <color rgb="FFF4F1F0"/>
      <name val="Calibri"/>
      <family val="2"/>
      <scheme val="minor"/>
    </font>
    <font>
      <sz val="16"/>
      <color rgb="FFF4F1F0"/>
      <name val="Calibri"/>
      <family val="2"/>
      <scheme val="minor"/>
    </font>
    <font>
      <b/>
      <sz val="14"/>
      <color rgb="FFFF4F4F"/>
      <name val="Calibri"/>
      <family val="2"/>
      <scheme val="minor"/>
    </font>
    <font>
      <b/>
      <sz val="11"/>
      <color theme="0"/>
      <name val="Poppins "/>
    </font>
    <font>
      <b/>
      <sz val="16"/>
      <color theme="0"/>
      <name val="Poppins "/>
    </font>
  </fonts>
  <fills count="22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4F7FB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034858"/>
        <bgColor indexed="64"/>
      </patternFill>
    </fill>
    <fill>
      <patternFill patternType="solid">
        <fgColor rgb="FF3AD674"/>
        <bgColor indexed="64"/>
      </patternFill>
    </fill>
    <fill>
      <patternFill patternType="solid">
        <fgColor rgb="FFFF4F4F"/>
        <bgColor indexed="64"/>
      </patternFill>
    </fill>
    <fill>
      <patternFill patternType="solid">
        <fgColor rgb="FFF4F1F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rgb="FF002868"/>
      </bottom>
      <diagonal/>
    </border>
    <border>
      <left/>
      <right/>
      <top/>
      <bottom style="medium">
        <color rgb="FFF4F7FB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ck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/>
      <top style="thick">
        <color auto="1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auto="1"/>
      </top>
      <bottom style="thick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rgb="FFFF0000"/>
      </left>
      <right/>
      <top style="double">
        <color rgb="FFFF0000"/>
      </top>
      <bottom style="double">
        <color rgb="FFFF0000"/>
      </bottom>
      <diagonal/>
    </border>
    <border>
      <left/>
      <right style="double">
        <color rgb="FFFF0000"/>
      </right>
      <top style="double">
        <color rgb="FFFF0000"/>
      </top>
      <bottom style="double">
        <color rgb="FFFF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38">
    <xf numFmtId="0" fontId="0" fillId="0" borderId="0" xfId="0"/>
    <xf numFmtId="0" fontId="2" fillId="0" borderId="0" xfId="0" applyFont="1"/>
    <xf numFmtId="0" fontId="2" fillId="3" borderId="0" xfId="0" applyFont="1" applyFill="1"/>
    <xf numFmtId="164" fontId="2" fillId="3" borderId="0" xfId="1" applyFont="1" applyFill="1" applyBorder="1"/>
    <xf numFmtId="164" fontId="2" fillId="3" borderId="0" xfId="0" applyNumberFormat="1" applyFont="1" applyFill="1"/>
    <xf numFmtId="164" fontId="3" fillId="3" borderId="2" xfId="1" applyFont="1" applyFill="1" applyBorder="1"/>
    <xf numFmtId="164" fontId="2" fillId="4" borderId="1" xfId="1" applyFont="1" applyFill="1" applyBorder="1"/>
    <xf numFmtId="44" fontId="2" fillId="4" borderId="1" xfId="2" applyFont="1" applyFill="1" applyBorder="1"/>
    <xf numFmtId="10" fontId="2" fillId="4" borderId="1" xfId="3" applyNumberFormat="1" applyFont="1" applyFill="1" applyBorder="1"/>
    <xf numFmtId="44" fontId="3" fillId="4" borderId="1" xfId="2" applyFont="1" applyFill="1" applyBorder="1"/>
    <xf numFmtId="44" fontId="3" fillId="5" borderId="1" xfId="2" applyFont="1" applyFill="1" applyBorder="1"/>
    <xf numFmtId="164" fontId="3" fillId="5" borderId="1" xfId="1" applyFont="1" applyFill="1" applyBorder="1"/>
    <xf numFmtId="164" fontId="3" fillId="3" borderId="0" xfId="1" applyFont="1" applyFill="1" applyBorder="1"/>
    <xf numFmtId="0" fontId="6" fillId="6" borderId="4" xfId="0" applyFont="1" applyFill="1" applyBorder="1" applyAlignment="1">
      <alignment horizontal="left" vertical="top" indent="1"/>
    </xf>
    <xf numFmtId="10" fontId="2" fillId="4" borderId="1" xfId="3" applyNumberFormat="1" applyFont="1" applyFill="1" applyBorder="1" applyAlignment="1">
      <alignment horizontal="right"/>
    </xf>
    <xf numFmtId="164" fontId="2" fillId="4" borderId="1" xfId="1" applyFont="1" applyFill="1" applyBorder="1" applyAlignment="1">
      <alignment horizontal="right"/>
    </xf>
    <xf numFmtId="17" fontId="7" fillId="2" borderId="1" xfId="1" applyNumberFormat="1" applyFont="1" applyFill="1" applyBorder="1" applyAlignment="1">
      <alignment horizontal="center"/>
    </xf>
    <xf numFmtId="0" fontId="8" fillId="0" borderId="0" xfId="0" applyFont="1"/>
    <xf numFmtId="0" fontId="9" fillId="2" borderId="1" xfId="0" applyFont="1" applyFill="1" applyBorder="1" applyAlignment="1">
      <alignment horizontal="center"/>
    </xf>
    <xf numFmtId="164" fontId="10" fillId="4" borderId="1" xfId="1" applyFont="1" applyFill="1" applyBorder="1"/>
    <xf numFmtId="0" fontId="4" fillId="5" borderId="1" xfId="0" applyFont="1" applyFill="1" applyBorder="1"/>
    <xf numFmtId="0" fontId="4" fillId="3" borderId="2" xfId="0" applyFont="1" applyFill="1" applyBorder="1"/>
    <xf numFmtId="0" fontId="10" fillId="4" borderId="1" xfId="0" applyFont="1" applyFill="1" applyBorder="1"/>
    <xf numFmtId="0" fontId="10" fillId="3" borderId="0" xfId="0" applyFont="1" applyFill="1"/>
    <xf numFmtId="0" fontId="11" fillId="0" borderId="0" xfId="0" applyFont="1"/>
    <xf numFmtId="164" fontId="2" fillId="0" borderId="0" xfId="0" applyNumberFormat="1" applyFont="1"/>
    <xf numFmtId="0" fontId="14" fillId="7" borderId="5" xfId="0" applyFont="1" applyFill="1" applyBorder="1" applyAlignment="1">
      <alignment horizontal="left" vertical="center" wrapText="1" indent="1"/>
    </xf>
    <xf numFmtId="10" fontId="14" fillId="7" borderId="5" xfId="0" applyNumberFormat="1" applyFont="1" applyFill="1" applyBorder="1" applyAlignment="1">
      <alignment horizontal="left" vertical="center" wrapText="1" indent="1"/>
    </xf>
    <xf numFmtId="0" fontId="14" fillId="6" borderId="5" xfId="0" applyFont="1" applyFill="1" applyBorder="1" applyAlignment="1">
      <alignment horizontal="left" vertical="center" wrapText="1" indent="1"/>
    </xf>
    <xf numFmtId="10" fontId="14" fillId="6" borderId="5" xfId="0" applyNumberFormat="1" applyFont="1" applyFill="1" applyBorder="1" applyAlignment="1">
      <alignment horizontal="left" vertical="center" wrapText="1" indent="1"/>
    </xf>
    <xf numFmtId="4" fontId="14" fillId="6" borderId="5" xfId="0" applyNumberFormat="1" applyFont="1" applyFill="1" applyBorder="1" applyAlignment="1">
      <alignment horizontal="left" vertical="center" wrapText="1" indent="1"/>
    </xf>
    <xf numFmtId="4" fontId="14" fillId="7" borderId="5" xfId="0" applyNumberFormat="1" applyFont="1" applyFill="1" applyBorder="1" applyAlignment="1">
      <alignment horizontal="left" vertical="center" wrapText="1" indent="1"/>
    </xf>
    <xf numFmtId="0" fontId="15" fillId="2" borderId="1" xfId="0" applyFont="1" applyFill="1" applyBorder="1" applyAlignment="1">
      <alignment horizontal="center"/>
    </xf>
    <xf numFmtId="17" fontId="15" fillId="2" borderId="1" xfId="1" applyNumberFormat="1" applyFont="1" applyFill="1" applyBorder="1" applyAlignment="1">
      <alignment horizontal="center"/>
    </xf>
    <xf numFmtId="164" fontId="2" fillId="8" borderId="1" xfId="1" applyFont="1" applyFill="1" applyBorder="1"/>
    <xf numFmtId="0" fontId="3" fillId="9" borderId="1" xfId="0" applyFont="1" applyFill="1" applyBorder="1"/>
    <xf numFmtId="164" fontId="3" fillId="9" borderId="1" xfId="1" applyFont="1" applyFill="1" applyBorder="1"/>
    <xf numFmtId="0" fontId="3" fillId="3" borderId="2" xfId="0" applyFont="1" applyFill="1" applyBorder="1"/>
    <xf numFmtId="0" fontId="2" fillId="8" borderId="1" xfId="0" applyFont="1" applyFill="1" applyBorder="1"/>
    <xf numFmtId="0" fontId="3" fillId="0" borderId="0" xfId="0" applyFont="1"/>
    <xf numFmtId="164" fontId="2" fillId="0" borderId="0" xfId="1" applyFont="1"/>
    <xf numFmtId="17" fontId="15" fillId="3" borderId="7" xfId="1" applyNumberFormat="1" applyFont="1" applyFill="1" applyBorder="1" applyAlignment="1">
      <alignment horizontal="center"/>
    </xf>
    <xf numFmtId="164" fontId="2" fillId="3" borderId="7" xfId="1" applyFont="1" applyFill="1" applyBorder="1"/>
    <xf numFmtId="164" fontId="3" fillId="3" borderId="7" xfId="1" applyFont="1" applyFill="1" applyBorder="1"/>
    <xf numFmtId="164" fontId="3" fillId="9" borderId="0" xfId="1" applyFont="1" applyFill="1" applyBorder="1"/>
    <xf numFmtId="164" fontId="3" fillId="3" borderId="0" xfId="0" applyNumberFormat="1" applyFont="1" applyFill="1"/>
    <xf numFmtId="164" fontId="3" fillId="9" borderId="0" xfId="0" applyNumberFormat="1" applyFont="1" applyFill="1"/>
    <xf numFmtId="164" fontId="0" fillId="0" borderId="0" xfId="1" applyFont="1"/>
    <xf numFmtId="0" fontId="12" fillId="0" borderId="0" xfId="0" applyFont="1" applyAlignment="1">
      <alignment horizontal="right"/>
    </xf>
    <xf numFmtId="0" fontId="17" fillId="12" borderId="0" xfId="0" applyFont="1" applyFill="1" applyAlignment="1">
      <alignment horizontal="right"/>
    </xf>
    <xf numFmtId="164" fontId="17" fillId="12" borderId="0" xfId="1" applyFont="1" applyFill="1"/>
    <xf numFmtId="0" fontId="0" fillId="0" borderId="0" xfId="0" applyAlignment="1">
      <alignment horizontal="right"/>
    </xf>
    <xf numFmtId="10" fontId="0" fillId="0" borderId="0" xfId="3" applyNumberFormat="1" applyFont="1"/>
    <xf numFmtId="0" fontId="0" fillId="3" borderId="0" xfId="0" applyFill="1"/>
    <xf numFmtId="164" fontId="3" fillId="5" borderId="1" xfId="1" applyFont="1" applyFill="1" applyBorder="1" applyAlignment="1">
      <alignment horizontal="center"/>
    </xf>
    <xf numFmtId="0" fontId="20" fillId="15" borderId="0" xfId="0" applyFont="1" applyFill="1"/>
    <xf numFmtId="0" fontId="20" fillId="0" borderId="0" xfId="0" applyFont="1"/>
    <xf numFmtId="0" fontId="23" fillId="15" borderId="0" xfId="0" applyFont="1" applyFill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4" fillId="0" borderId="0" xfId="0" applyFont="1"/>
    <xf numFmtId="0" fontId="27" fillId="15" borderId="0" xfId="0" applyFont="1" applyFill="1" applyAlignment="1">
      <alignment vertical="center" wrapText="1"/>
    </xf>
    <xf numFmtId="0" fontId="24" fillId="15" borderId="0" xfId="0" applyFont="1" applyFill="1"/>
    <xf numFmtId="0" fontId="23" fillId="15" borderId="0" xfId="0" applyFont="1" applyFill="1" applyAlignment="1">
      <alignment vertical="center"/>
    </xf>
    <xf numFmtId="0" fontId="25" fillId="15" borderId="0" xfId="0" applyFont="1" applyFill="1" applyAlignment="1">
      <alignment horizontal="left" vertical="center"/>
    </xf>
    <xf numFmtId="0" fontId="21" fillId="15" borderId="0" xfId="0" applyFont="1" applyFill="1" applyAlignment="1">
      <alignment horizontal="center" vertical="center" wrapText="1"/>
    </xf>
    <xf numFmtId="0" fontId="20" fillId="3" borderId="0" xfId="0" applyFont="1" applyFill="1"/>
    <xf numFmtId="0" fontId="28" fillId="0" borderId="0" xfId="0" applyFont="1"/>
    <xf numFmtId="0" fontId="31" fillId="0" borderId="0" xfId="0" applyFont="1"/>
    <xf numFmtId="0" fontId="32" fillId="0" borderId="0" xfId="0" applyFont="1"/>
    <xf numFmtId="0" fontId="32" fillId="3" borderId="0" xfId="0" applyFont="1" applyFill="1" applyAlignment="1">
      <alignment vertical="center"/>
    </xf>
    <xf numFmtId="0" fontId="33" fillId="0" borderId="13" xfId="0" applyFont="1" applyBorder="1"/>
    <xf numFmtId="0" fontId="20" fillId="3" borderId="14" xfId="0" applyFont="1" applyFill="1" applyBorder="1"/>
    <xf numFmtId="0" fontId="33" fillId="0" borderId="0" xfId="0" applyFont="1"/>
    <xf numFmtId="0" fontId="20" fillId="3" borderId="0" xfId="0" applyFont="1" applyFill="1" applyAlignment="1">
      <alignment horizontal="center"/>
    </xf>
    <xf numFmtId="0" fontId="31" fillId="3" borderId="0" xfId="0" applyFont="1" applyFill="1"/>
    <xf numFmtId="44" fontId="20" fillId="14" borderId="14" xfId="2" applyFont="1" applyFill="1" applyBorder="1"/>
    <xf numFmtId="10" fontId="34" fillId="0" borderId="0" xfId="3" applyNumberFormat="1" applyFont="1" applyAlignment="1">
      <alignment horizontal="left"/>
    </xf>
    <xf numFmtId="0" fontId="28" fillId="0" borderId="0" xfId="0" applyFont="1" applyAlignment="1">
      <alignment horizontal="center"/>
    </xf>
    <xf numFmtId="44" fontId="20" fillId="0" borderId="0" xfId="2" applyFont="1" applyBorder="1"/>
    <xf numFmtId="0" fontId="28" fillId="3" borderId="6" xfId="0" applyFont="1" applyFill="1" applyBorder="1" applyAlignment="1">
      <alignment horizontal="center" vertical="center"/>
    </xf>
    <xf numFmtId="44" fontId="20" fillId="3" borderId="0" xfId="2" applyFont="1" applyFill="1"/>
    <xf numFmtId="0" fontId="28" fillId="0" borderId="6" xfId="0" applyFont="1" applyBorder="1" applyAlignment="1">
      <alignment horizontal="center"/>
    </xf>
    <xf numFmtId="9" fontId="20" fillId="3" borderId="12" xfId="0" applyNumberFormat="1" applyFont="1" applyFill="1" applyBorder="1"/>
    <xf numFmtId="0" fontId="20" fillId="3" borderId="0" xfId="0" applyFont="1" applyFill="1" applyAlignment="1">
      <alignment vertical="center"/>
    </xf>
    <xf numFmtId="9" fontId="20" fillId="3" borderId="14" xfId="0" applyNumberFormat="1" applyFont="1" applyFill="1" applyBorder="1"/>
    <xf numFmtId="0" fontId="28" fillId="3" borderId="18" xfId="0" applyFont="1" applyFill="1" applyBorder="1" applyAlignment="1">
      <alignment horizontal="center" vertical="center"/>
    </xf>
    <xf numFmtId="44" fontId="20" fillId="3" borderId="0" xfId="2" applyFont="1" applyFill="1" applyBorder="1"/>
    <xf numFmtId="0" fontId="33" fillId="0" borderId="15" xfId="0" applyFont="1" applyBorder="1"/>
    <xf numFmtId="9" fontId="20" fillId="14" borderId="16" xfId="0" applyNumberFormat="1" applyFont="1" applyFill="1" applyBorder="1"/>
    <xf numFmtId="0" fontId="28" fillId="3" borderId="0" xfId="0" applyFont="1" applyFill="1" applyAlignment="1">
      <alignment horizontal="center" vertical="center"/>
    </xf>
    <xf numFmtId="0" fontId="28" fillId="0" borderId="17" xfId="0" applyFont="1" applyBorder="1" applyAlignment="1">
      <alignment horizontal="center"/>
    </xf>
    <xf numFmtId="44" fontId="20" fillId="0" borderId="17" xfId="2" applyFont="1" applyBorder="1"/>
    <xf numFmtId="0" fontId="28" fillId="3" borderId="17" xfId="0" applyFont="1" applyFill="1" applyBorder="1" applyAlignment="1">
      <alignment horizontal="center" vertical="center"/>
    </xf>
    <xf numFmtId="44" fontId="20" fillId="3" borderId="17" xfId="2" applyFont="1" applyFill="1" applyBorder="1"/>
    <xf numFmtId="44" fontId="20" fillId="14" borderId="12" xfId="2" applyFont="1" applyFill="1" applyBorder="1"/>
    <xf numFmtId="0" fontId="28" fillId="12" borderId="6" xfId="0" applyFont="1" applyFill="1" applyBorder="1" applyAlignment="1">
      <alignment horizontal="center"/>
    </xf>
    <xf numFmtId="44" fontId="20" fillId="3" borderId="6" xfId="2" applyFont="1" applyFill="1" applyBorder="1" applyAlignment="1">
      <alignment vertical="center" wrapText="1"/>
    </xf>
    <xf numFmtId="44" fontId="20" fillId="3" borderId="6" xfId="0" applyNumberFormat="1" applyFont="1" applyFill="1" applyBorder="1" applyAlignment="1">
      <alignment vertical="center" wrapText="1"/>
    </xf>
    <xf numFmtId="0" fontId="20" fillId="3" borderId="0" xfId="0" applyFont="1" applyFill="1" applyAlignment="1">
      <alignment vertical="center" wrapText="1"/>
    </xf>
    <xf numFmtId="44" fontId="20" fillId="4" borderId="6" xfId="0" applyNumberFormat="1" applyFont="1" applyFill="1" applyBorder="1" applyAlignment="1">
      <alignment vertical="center" wrapText="1"/>
    </xf>
    <xf numFmtId="10" fontId="20" fillId="0" borderId="0" xfId="3" applyNumberFormat="1" applyFont="1"/>
    <xf numFmtId="164" fontId="20" fillId="14" borderId="6" xfId="1" applyFont="1" applyFill="1" applyBorder="1"/>
    <xf numFmtId="0" fontId="28" fillId="3" borderId="20" xfId="0" applyFont="1" applyFill="1" applyBorder="1" applyAlignment="1">
      <alignment horizontal="center" vertical="center"/>
    </xf>
    <xf numFmtId="44" fontId="20" fillId="3" borderId="0" xfId="2" applyFont="1" applyFill="1" applyBorder="1" applyAlignment="1">
      <alignment vertical="center" wrapText="1"/>
    </xf>
    <xf numFmtId="44" fontId="20" fillId="0" borderId="0" xfId="2" applyFont="1" applyAlignment="1">
      <alignment horizontal="right"/>
    </xf>
    <xf numFmtId="44" fontId="20" fillId="3" borderId="0" xfId="0" applyNumberFormat="1" applyFont="1" applyFill="1" applyAlignment="1">
      <alignment vertical="center" wrapText="1"/>
    </xf>
    <xf numFmtId="164" fontId="20" fillId="14" borderId="6" xfId="1" applyFont="1" applyFill="1" applyBorder="1" applyAlignment="1">
      <alignment horizontal="right"/>
    </xf>
    <xf numFmtId="0" fontId="35" fillId="3" borderId="18" xfId="0" applyFont="1" applyFill="1" applyBorder="1" applyAlignment="1">
      <alignment horizontal="center" vertical="center" wrapText="1"/>
    </xf>
    <xf numFmtId="164" fontId="20" fillId="3" borderId="0" xfId="1" applyFont="1" applyFill="1" applyBorder="1"/>
    <xf numFmtId="164" fontId="32" fillId="3" borderId="0" xfId="1" applyFont="1" applyFill="1"/>
    <xf numFmtId="0" fontId="35" fillId="3" borderId="6" xfId="0" applyFont="1" applyFill="1" applyBorder="1" applyAlignment="1">
      <alignment horizontal="center" vertical="center" wrapText="1"/>
    </xf>
    <xf numFmtId="164" fontId="20" fillId="3" borderId="0" xfId="1" applyFont="1" applyFill="1"/>
    <xf numFmtId="0" fontId="36" fillId="0" borderId="0" xfId="0" applyFont="1"/>
    <xf numFmtId="0" fontId="35" fillId="3" borderId="0" xfId="0" applyFont="1" applyFill="1" applyAlignment="1">
      <alignment horizontal="right"/>
    </xf>
    <xf numFmtId="43" fontId="36" fillId="3" borderId="0" xfId="0" applyNumberFormat="1" applyFont="1" applyFill="1"/>
    <xf numFmtId="0" fontId="36" fillId="3" borderId="0" xfId="0" applyFont="1" applyFill="1"/>
    <xf numFmtId="0" fontId="36" fillId="3" borderId="0" xfId="0" applyFont="1" applyFill="1" applyAlignment="1">
      <alignment horizontal="right"/>
    </xf>
    <xf numFmtId="0" fontId="33" fillId="12" borderId="6" xfId="0" applyFont="1" applyFill="1" applyBorder="1" applyAlignment="1">
      <alignment horizontal="center" vertical="center" wrapText="1"/>
    </xf>
    <xf numFmtId="44" fontId="20" fillId="3" borderId="0" xfId="0" applyNumberFormat="1" applyFont="1" applyFill="1"/>
    <xf numFmtId="0" fontId="33" fillId="3" borderId="0" xfId="0" applyFont="1" applyFill="1" applyAlignment="1">
      <alignment horizontal="center" wrapText="1"/>
    </xf>
    <xf numFmtId="0" fontId="33" fillId="3" borderId="18" xfId="0" applyFont="1" applyFill="1" applyBorder="1" applyAlignment="1">
      <alignment horizontal="center" wrapText="1"/>
    </xf>
    <xf numFmtId="44" fontId="20" fillId="3" borderId="18" xfId="0" applyNumberFormat="1" applyFont="1" applyFill="1" applyBorder="1" applyAlignment="1">
      <alignment vertical="center" wrapText="1"/>
    </xf>
    <xf numFmtId="0" fontId="31" fillId="3" borderId="0" xfId="0" applyFont="1" applyFill="1" applyAlignment="1">
      <alignment vertical="center" wrapText="1"/>
    </xf>
    <xf numFmtId="0" fontId="28" fillId="3" borderId="0" xfId="0" applyFont="1" applyFill="1"/>
    <xf numFmtId="0" fontId="37" fillId="0" borderId="0" xfId="0" applyFont="1"/>
    <xf numFmtId="0" fontId="38" fillId="0" borderId="0" xfId="0" applyFont="1"/>
    <xf numFmtId="0" fontId="38" fillId="3" borderId="0" xfId="0" applyFont="1" applyFill="1"/>
    <xf numFmtId="0" fontId="33" fillId="0" borderId="15" xfId="0" applyFont="1" applyBorder="1" applyAlignment="1">
      <alignment horizontal="right"/>
    </xf>
    <xf numFmtId="0" fontId="28" fillId="0" borderId="0" xfId="0" applyFont="1" applyAlignment="1">
      <alignment horizontal="right"/>
    </xf>
    <xf numFmtId="0" fontId="21" fillId="15" borderId="0" xfId="0" applyFont="1" applyFill="1" applyAlignment="1">
      <alignment vertical="center"/>
    </xf>
    <xf numFmtId="0" fontId="50" fillId="0" borderId="0" xfId="0" applyFont="1"/>
    <xf numFmtId="0" fontId="52" fillId="15" borderId="0" xfId="0" applyFont="1" applyFill="1" applyAlignment="1">
      <alignment horizontal="left" vertical="center"/>
    </xf>
    <xf numFmtId="0" fontId="30" fillId="15" borderId="0" xfId="0" applyFont="1" applyFill="1" applyAlignment="1">
      <alignment vertical="center" wrapText="1"/>
    </xf>
    <xf numFmtId="0" fontId="39" fillId="15" borderId="0" xfId="0" applyFont="1" applyFill="1" applyAlignment="1">
      <alignment horizontal="right" vertical="center"/>
    </xf>
    <xf numFmtId="44" fontId="36" fillId="0" borderId="0" xfId="2" applyFont="1"/>
    <xf numFmtId="44" fontId="36" fillId="0" borderId="0" xfId="0" applyNumberFormat="1" applyFont="1"/>
    <xf numFmtId="44" fontId="28" fillId="0" borderId="0" xfId="0" applyNumberFormat="1" applyFont="1"/>
    <xf numFmtId="0" fontId="39" fillId="15" borderId="0" xfId="0" applyFont="1" applyFill="1" applyAlignment="1">
      <alignment vertical="center" wrapText="1"/>
    </xf>
    <xf numFmtId="0" fontId="28" fillId="15" borderId="0" xfId="0" applyFont="1" applyFill="1" applyAlignment="1">
      <alignment horizontal="center"/>
    </xf>
    <xf numFmtId="0" fontId="21" fillId="15" borderId="0" xfId="0" applyFont="1" applyFill="1" applyAlignment="1">
      <alignment horizontal="right" vertical="center" wrapText="1"/>
    </xf>
    <xf numFmtId="0" fontId="21" fillId="15" borderId="23" xfId="0" applyFont="1" applyFill="1" applyBorder="1" applyAlignment="1">
      <alignment vertical="center"/>
    </xf>
    <xf numFmtId="0" fontId="39" fillId="15" borderId="0" xfId="0" applyFont="1" applyFill="1" applyAlignment="1">
      <alignment vertical="center"/>
    </xf>
    <xf numFmtId="44" fontId="23" fillId="3" borderId="26" xfId="2" applyFont="1" applyFill="1" applyBorder="1" applyAlignment="1">
      <alignment vertical="center"/>
    </xf>
    <xf numFmtId="44" fontId="21" fillId="3" borderId="26" xfId="2" applyFont="1" applyFill="1" applyBorder="1" applyAlignment="1">
      <alignment vertical="center"/>
    </xf>
    <xf numFmtId="44" fontId="21" fillId="16" borderId="26" xfId="2" applyFont="1" applyFill="1" applyBorder="1" applyAlignment="1">
      <alignment vertical="center"/>
    </xf>
    <xf numFmtId="9" fontId="21" fillId="16" borderId="26" xfId="3" applyFont="1" applyFill="1" applyBorder="1" applyAlignment="1">
      <alignment vertical="center"/>
    </xf>
    <xf numFmtId="0" fontId="27" fillId="15" borderId="0" xfId="0" applyFont="1" applyFill="1" applyAlignment="1">
      <alignment horizontal="right" vertical="center" wrapText="1"/>
    </xf>
    <xf numFmtId="0" fontId="29" fillId="3" borderId="0" xfId="0" applyFont="1" applyFill="1" applyAlignment="1">
      <alignment horizontal="center" vertical="center"/>
    </xf>
    <xf numFmtId="0" fontId="34" fillId="3" borderId="0" xfId="0" applyFont="1" applyFill="1" applyAlignment="1">
      <alignment horizontal="center" vertical="center" wrapText="1"/>
    </xf>
    <xf numFmtId="0" fontId="50" fillId="3" borderId="0" xfId="0" applyFont="1" applyFill="1"/>
    <xf numFmtId="0" fontId="51" fillId="3" borderId="0" xfId="0" applyFont="1" applyFill="1" applyAlignment="1">
      <alignment horizontal="center" vertical="center"/>
    </xf>
    <xf numFmtId="44" fontId="38" fillId="17" borderId="26" xfId="2" applyFont="1" applyFill="1" applyBorder="1" applyAlignment="1">
      <alignment horizontal="center" vertical="center"/>
    </xf>
    <xf numFmtId="0" fontId="33" fillId="3" borderId="0" xfId="0" applyFont="1" applyFill="1" applyAlignment="1">
      <alignment horizontal="right"/>
    </xf>
    <xf numFmtId="43" fontId="53" fillId="3" borderId="0" xfId="0" applyNumberFormat="1" applyFont="1" applyFill="1"/>
    <xf numFmtId="0" fontId="53" fillId="3" borderId="0" xfId="0" applyFont="1" applyFill="1" applyAlignment="1">
      <alignment horizontal="right"/>
    </xf>
    <xf numFmtId="165" fontId="54" fillId="3" borderId="0" xfId="1" applyNumberFormat="1" applyFont="1" applyFill="1" applyBorder="1" applyAlignment="1">
      <alignment horizontal="center" vertical="center" wrapText="1"/>
    </xf>
    <xf numFmtId="165" fontId="43" fillId="3" borderId="0" xfId="1" applyNumberFormat="1" applyFont="1" applyFill="1" applyBorder="1" applyAlignment="1">
      <alignment vertical="center" wrapText="1"/>
    </xf>
    <xf numFmtId="0" fontId="43" fillId="3" borderId="0" xfId="0" applyFont="1" applyFill="1"/>
    <xf numFmtId="0" fontId="54" fillId="0" borderId="13" xfId="0" applyFont="1" applyBorder="1"/>
    <xf numFmtId="0" fontId="43" fillId="3" borderId="13" xfId="0" applyFont="1" applyFill="1" applyBorder="1"/>
    <xf numFmtId="165" fontId="54" fillId="3" borderId="29" xfId="1" applyNumberFormat="1" applyFont="1" applyFill="1" applyBorder="1" applyAlignment="1">
      <alignment horizontal="center" vertical="center" wrapText="1"/>
    </xf>
    <xf numFmtId="165" fontId="43" fillId="3" borderId="29" xfId="1" applyNumberFormat="1" applyFont="1" applyFill="1" applyBorder="1" applyAlignment="1">
      <alignment vertical="center" wrapText="1"/>
    </xf>
    <xf numFmtId="0" fontId="55" fillId="3" borderId="0" xfId="0" applyFont="1" applyFill="1"/>
    <xf numFmtId="44" fontId="55" fillId="3" borderId="0" xfId="2" applyFont="1" applyFill="1" applyBorder="1"/>
    <xf numFmtId="44" fontId="55" fillId="3" borderId="0" xfId="0" applyNumberFormat="1" applyFont="1" applyFill="1"/>
    <xf numFmtId="0" fontId="28" fillId="13" borderId="30" xfId="0" applyFont="1" applyFill="1" applyBorder="1"/>
    <xf numFmtId="44" fontId="28" fillId="13" borderId="31" xfId="0" applyNumberFormat="1" applyFont="1" applyFill="1" applyBorder="1"/>
    <xf numFmtId="0" fontId="28" fillId="13" borderId="25" xfId="0" applyFont="1" applyFill="1" applyBorder="1"/>
    <xf numFmtId="0" fontId="28" fillId="13" borderId="19" xfId="0" applyFont="1" applyFill="1" applyBorder="1"/>
    <xf numFmtId="0" fontId="28" fillId="13" borderId="30" xfId="0" applyFont="1" applyFill="1" applyBorder="1" applyAlignment="1">
      <alignment horizontal="left"/>
    </xf>
    <xf numFmtId="44" fontId="28" fillId="13" borderId="31" xfId="0" applyNumberFormat="1" applyFont="1" applyFill="1" applyBorder="1" applyAlignment="1">
      <alignment horizontal="left"/>
    </xf>
    <xf numFmtId="0" fontId="38" fillId="13" borderId="10" xfId="0" applyFont="1" applyFill="1" applyBorder="1"/>
    <xf numFmtId="10" fontId="38" fillId="13" borderId="11" xfId="3" applyNumberFormat="1" applyFont="1" applyFill="1" applyBorder="1"/>
    <xf numFmtId="7" fontId="28" fillId="13" borderId="31" xfId="0" applyNumberFormat="1" applyFont="1" applyFill="1" applyBorder="1" applyAlignment="1">
      <alignment horizontal="right"/>
    </xf>
    <xf numFmtId="0" fontId="57" fillId="15" borderId="24" xfId="0" applyFont="1" applyFill="1" applyBorder="1" applyAlignment="1">
      <alignment vertical="center"/>
    </xf>
    <xf numFmtId="0" fontId="57" fillId="15" borderId="24" xfId="0" applyFont="1" applyFill="1" applyBorder="1" applyAlignment="1">
      <alignment horizontal="left" vertical="center"/>
    </xf>
    <xf numFmtId="44" fontId="24" fillId="15" borderId="0" xfId="0" applyNumberFormat="1" applyFont="1" applyFill="1"/>
    <xf numFmtId="44" fontId="21" fillId="15" borderId="0" xfId="0" applyNumberFormat="1" applyFont="1" applyFill="1" applyAlignment="1">
      <alignment vertical="center"/>
    </xf>
    <xf numFmtId="164" fontId="20" fillId="3" borderId="32" xfId="1" applyFont="1" applyFill="1" applyBorder="1"/>
    <xf numFmtId="0" fontId="28" fillId="0" borderId="13" xfId="0" applyFont="1" applyBorder="1"/>
    <xf numFmtId="10" fontId="21" fillId="16" borderId="26" xfId="3" applyNumberFormat="1" applyFont="1" applyFill="1" applyBorder="1" applyAlignment="1">
      <alignment vertical="center"/>
    </xf>
    <xf numFmtId="166" fontId="31" fillId="0" borderId="0" xfId="2" applyNumberFormat="1" applyFont="1" applyAlignment="1">
      <alignment horizontal="center" vertical="center"/>
    </xf>
    <xf numFmtId="0" fontId="28" fillId="13" borderId="25" xfId="0" applyFont="1" applyFill="1" applyBorder="1" applyAlignment="1">
      <alignment horizontal="left"/>
    </xf>
    <xf numFmtId="44" fontId="28" fillId="13" borderId="19" xfId="0" applyNumberFormat="1" applyFont="1" applyFill="1" applyBorder="1"/>
    <xf numFmtId="7" fontId="28" fillId="13" borderId="19" xfId="0" applyNumberFormat="1" applyFont="1" applyFill="1" applyBorder="1" applyAlignment="1">
      <alignment horizontal="right"/>
    </xf>
    <xf numFmtId="44" fontId="28" fillId="13" borderId="31" xfId="0" applyNumberFormat="1" applyFont="1" applyFill="1" applyBorder="1" applyAlignment="1">
      <alignment horizontal="right"/>
    </xf>
    <xf numFmtId="10" fontId="0" fillId="0" borderId="0" xfId="0" applyNumberFormat="1"/>
    <xf numFmtId="10" fontId="34" fillId="0" borderId="0" xfId="3" applyNumberFormat="1" applyFont="1" applyAlignment="1">
      <alignment horizontal="right"/>
    </xf>
    <xf numFmtId="0" fontId="12" fillId="0" borderId="0" xfId="0" applyFont="1" applyAlignment="1">
      <alignment horizontal="center"/>
    </xf>
    <xf numFmtId="0" fontId="20" fillId="17" borderId="0" xfId="0" applyFont="1" applyFill="1"/>
    <xf numFmtId="10" fontId="58" fillId="17" borderId="0" xfId="3" applyNumberFormat="1" applyFont="1" applyFill="1" applyAlignment="1">
      <alignment horizontal="right"/>
    </xf>
    <xf numFmtId="44" fontId="60" fillId="4" borderId="1" xfId="2" applyFont="1" applyFill="1" applyBorder="1" applyAlignment="1">
      <alignment horizontal="right"/>
    </xf>
    <xf numFmtId="9" fontId="61" fillId="4" borderId="1" xfId="3" applyFont="1" applyFill="1" applyBorder="1" applyAlignment="1">
      <alignment horizontal="right"/>
    </xf>
    <xf numFmtId="9" fontId="0" fillId="0" borderId="0" xfId="0" applyNumberFormat="1"/>
    <xf numFmtId="44" fontId="0" fillId="0" borderId="0" xfId="2" applyFont="1"/>
    <xf numFmtId="0" fontId="12" fillId="0" borderId="0" xfId="0" applyFont="1"/>
    <xf numFmtId="44" fontId="0" fillId="8" borderId="0" xfId="2" applyFont="1" applyFill="1"/>
    <xf numFmtId="44" fontId="0" fillId="0" borderId="0" xfId="0" applyNumberFormat="1"/>
    <xf numFmtId="0" fontId="0" fillId="18" borderId="0" xfId="0" applyFill="1"/>
    <xf numFmtId="0" fontId="18" fillId="18" borderId="0" xfId="0" applyFont="1" applyFill="1"/>
    <xf numFmtId="0" fontId="21" fillId="18" borderId="0" xfId="0" applyFont="1" applyFill="1"/>
    <xf numFmtId="0" fontId="21" fillId="18" borderId="0" xfId="0" applyFont="1" applyFill="1" applyAlignment="1">
      <alignment vertical="center"/>
    </xf>
    <xf numFmtId="0" fontId="20" fillId="18" borderId="0" xfId="0" applyFont="1" applyFill="1"/>
    <xf numFmtId="0" fontId="28" fillId="18" borderId="0" xfId="0" applyFont="1" applyFill="1"/>
    <xf numFmtId="0" fontId="24" fillId="18" borderId="0" xfId="0" applyFont="1" applyFill="1"/>
    <xf numFmtId="0" fontId="46" fillId="18" borderId="0" xfId="0" applyFont="1" applyFill="1" applyAlignment="1">
      <alignment vertical="center"/>
    </xf>
    <xf numFmtId="0" fontId="62" fillId="19" borderId="0" xfId="0" applyFont="1" applyFill="1"/>
    <xf numFmtId="0" fontId="63" fillId="19" borderId="0" xfId="0" applyFont="1" applyFill="1" applyAlignment="1">
      <alignment horizontal="center" vertical="center"/>
    </xf>
    <xf numFmtId="0" fontId="64" fillId="19" borderId="0" xfId="0" applyFont="1" applyFill="1" applyAlignment="1">
      <alignment vertical="center"/>
    </xf>
    <xf numFmtId="166" fontId="63" fillId="19" borderId="0" xfId="2" applyNumberFormat="1" applyFont="1" applyFill="1" applyAlignment="1">
      <alignment horizontal="center" vertical="center"/>
    </xf>
    <xf numFmtId="0" fontId="63" fillId="19" borderId="0" xfId="0" applyFont="1" applyFill="1" applyAlignment="1">
      <alignment vertical="center"/>
    </xf>
    <xf numFmtId="0" fontId="64" fillId="19" borderId="0" xfId="0" applyFont="1" applyFill="1" applyAlignment="1">
      <alignment horizontal="right" vertical="center"/>
    </xf>
    <xf numFmtId="0" fontId="66" fillId="19" borderId="0" xfId="0" applyFont="1" applyFill="1"/>
    <xf numFmtId="0" fontId="67" fillId="19" borderId="0" xfId="0" applyFont="1" applyFill="1" applyAlignment="1">
      <alignment horizontal="center" vertical="center"/>
    </xf>
    <xf numFmtId="0" fontId="68" fillId="19" borderId="0" xfId="0" applyFont="1" applyFill="1" applyAlignment="1">
      <alignment vertical="center" wrapText="1"/>
    </xf>
    <xf numFmtId="0" fontId="69" fillId="19" borderId="0" xfId="0" applyFont="1" applyFill="1" applyAlignment="1">
      <alignment horizontal="center" vertical="center"/>
    </xf>
    <xf numFmtId="0" fontId="71" fillId="19" borderId="0" xfId="0" applyFont="1" applyFill="1" applyAlignment="1">
      <alignment vertical="center" wrapText="1"/>
    </xf>
    <xf numFmtId="0" fontId="70" fillId="19" borderId="0" xfId="0" applyFont="1" applyFill="1"/>
    <xf numFmtId="0" fontId="73" fillId="19" borderId="0" xfId="0" applyFont="1" applyFill="1" applyAlignment="1">
      <alignment vertical="center" wrapText="1"/>
    </xf>
    <xf numFmtId="0" fontId="74" fillId="19" borderId="0" xfId="0" applyFont="1" applyFill="1" applyAlignment="1">
      <alignment vertical="center" wrapText="1"/>
    </xf>
    <xf numFmtId="0" fontId="72" fillId="19" borderId="0" xfId="0" applyFont="1" applyFill="1" applyAlignment="1">
      <alignment vertical="center" wrapText="1"/>
    </xf>
    <xf numFmtId="166" fontId="76" fillId="19" borderId="0" xfId="2" applyNumberFormat="1" applyFont="1" applyFill="1" applyAlignment="1">
      <alignment vertical="center"/>
    </xf>
    <xf numFmtId="0" fontId="44" fillId="18" borderId="0" xfId="0" applyFont="1" applyFill="1" applyAlignment="1">
      <alignment vertical="center"/>
    </xf>
    <xf numFmtId="0" fontId="48" fillId="18" borderId="0" xfId="0" applyFont="1" applyFill="1"/>
    <xf numFmtId="0" fontId="41" fillId="18" borderId="0" xfId="0" applyFont="1" applyFill="1"/>
    <xf numFmtId="0" fontId="16" fillId="18" borderId="0" xfId="0" applyFont="1" applyFill="1"/>
    <xf numFmtId="0" fontId="42" fillId="18" borderId="0" xfId="0" applyFont="1" applyFill="1"/>
    <xf numFmtId="0" fontId="56" fillId="18" borderId="0" xfId="0" applyFont="1" applyFill="1"/>
    <xf numFmtId="0" fontId="19" fillId="18" borderId="0" xfId="0" applyFont="1" applyFill="1"/>
    <xf numFmtId="10" fontId="59" fillId="18" borderId="0" xfId="3" applyNumberFormat="1" applyFont="1" applyFill="1" applyAlignment="1">
      <alignment horizontal="center"/>
    </xf>
    <xf numFmtId="44" fontId="0" fillId="18" borderId="0" xfId="0" applyNumberFormat="1" applyFill="1" applyAlignment="1">
      <alignment horizontal="center"/>
    </xf>
    <xf numFmtId="0" fontId="0" fillId="18" borderId="0" xfId="0" applyFill="1" applyAlignment="1">
      <alignment horizontal="center"/>
    </xf>
    <xf numFmtId="10" fontId="0" fillId="18" borderId="0" xfId="0" applyNumberFormat="1" applyFill="1"/>
    <xf numFmtId="0" fontId="69" fillId="18" borderId="0" xfId="0" applyFont="1" applyFill="1"/>
    <xf numFmtId="44" fontId="77" fillId="18" borderId="0" xfId="2" applyFont="1" applyFill="1"/>
    <xf numFmtId="0" fontId="77" fillId="18" borderId="0" xfId="0" applyFont="1" applyFill="1"/>
    <xf numFmtId="0" fontId="78" fillId="18" borderId="0" xfId="0" applyFont="1" applyFill="1"/>
    <xf numFmtId="0" fontId="79" fillId="18" borderId="0" xfId="0" applyFont="1" applyFill="1"/>
    <xf numFmtId="0" fontId="80" fillId="18" borderId="0" xfId="0" applyFont="1" applyFill="1"/>
    <xf numFmtId="44" fontId="0" fillId="18" borderId="0" xfId="0" applyNumberFormat="1" applyFill="1"/>
    <xf numFmtId="0" fontId="81" fillId="18" borderId="0" xfId="0" applyFont="1" applyFill="1" applyAlignment="1">
      <alignment vertical="center" wrapText="1"/>
    </xf>
    <xf numFmtId="0" fontId="49" fillId="18" borderId="0" xfId="0" applyFont="1" applyFill="1" applyAlignment="1">
      <alignment vertical="center"/>
    </xf>
    <xf numFmtId="0" fontId="71" fillId="18" borderId="0" xfId="0" applyFont="1" applyFill="1"/>
    <xf numFmtId="44" fontId="71" fillId="18" borderId="0" xfId="0" applyNumberFormat="1" applyFont="1" applyFill="1"/>
    <xf numFmtId="0" fontId="85" fillId="18" borderId="0" xfId="0" applyFont="1" applyFill="1"/>
    <xf numFmtId="44" fontId="86" fillId="18" borderId="0" xfId="2" applyFont="1" applyFill="1" applyAlignment="1"/>
    <xf numFmtId="44" fontId="86" fillId="18" borderId="0" xfId="2" applyFont="1" applyFill="1"/>
    <xf numFmtId="0" fontId="87" fillId="18" borderId="0" xfId="0" applyFont="1" applyFill="1"/>
    <xf numFmtId="0" fontId="86" fillId="18" borderId="0" xfId="0" applyFont="1" applyFill="1"/>
    <xf numFmtId="0" fontId="88" fillId="18" borderId="0" xfId="0" applyFont="1" applyFill="1"/>
    <xf numFmtId="10" fontId="88" fillId="18" borderId="0" xfId="3" applyNumberFormat="1" applyFont="1" applyFill="1" applyBorder="1" applyAlignment="1"/>
    <xf numFmtId="0" fontId="89" fillId="18" borderId="0" xfId="0" applyFont="1" applyFill="1"/>
    <xf numFmtId="0" fontId="90" fillId="18" borderId="0" xfId="0" applyFont="1" applyFill="1"/>
    <xf numFmtId="0" fontId="91" fillId="18" borderId="0" xfId="0" applyFont="1" applyFill="1"/>
    <xf numFmtId="9" fontId="20" fillId="3" borderId="0" xfId="0" applyNumberFormat="1" applyFont="1" applyFill="1"/>
    <xf numFmtId="0" fontId="43" fillId="0" borderId="0" xfId="0" applyFont="1"/>
    <xf numFmtId="164" fontId="54" fillId="3" borderId="18" xfId="1" applyFont="1" applyFill="1" applyBorder="1" applyAlignment="1">
      <alignment horizontal="center" vertical="center" wrapText="1"/>
    </xf>
    <xf numFmtId="43" fontId="54" fillId="3" borderId="18" xfId="1" applyNumberFormat="1" applyFont="1" applyFill="1" applyBorder="1" applyAlignment="1">
      <alignment horizontal="center" vertical="center" wrapText="1"/>
    </xf>
    <xf numFmtId="43" fontId="54" fillId="3" borderId="0" xfId="1" applyNumberFormat="1" applyFont="1" applyFill="1" applyBorder="1" applyAlignment="1">
      <alignment horizontal="center" vertical="center" wrapText="1"/>
    </xf>
    <xf numFmtId="0" fontId="43" fillId="3" borderId="0" xfId="0" applyFont="1" applyFill="1" applyAlignment="1">
      <alignment vertical="center" wrapText="1"/>
    </xf>
    <xf numFmtId="10" fontId="93" fillId="3" borderId="0" xfId="3" applyNumberFormat="1" applyFont="1" applyFill="1" applyAlignment="1">
      <alignment horizontal="left"/>
    </xf>
    <xf numFmtId="44" fontId="21" fillId="16" borderId="33" xfId="2" applyFont="1" applyFill="1" applyBorder="1" applyAlignment="1">
      <alignment vertical="center"/>
    </xf>
    <xf numFmtId="0" fontId="28" fillId="15" borderId="8" xfId="0" applyFont="1" applyFill="1" applyBorder="1" applyAlignment="1">
      <alignment horizontal="right"/>
    </xf>
    <xf numFmtId="0" fontId="24" fillId="15" borderId="18" xfId="0" applyFont="1" applyFill="1" applyBorder="1"/>
    <xf numFmtId="9" fontId="21" fillId="16" borderId="34" xfId="3" applyFont="1" applyFill="1" applyBorder="1" applyAlignment="1">
      <alignment vertical="center"/>
    </xf>
    <xf numFmtId="0" fontId="28" fillId="15" borderId="10" xfId="0" applyFont="1" applyFill="1" applyBorder="1" applyAlignment="1">
      <alignment horizontal="right"/>
    </xf>
    <xf numFmtId="0" fontId="24" fillId="15" borderId="17" xfId="0" applyFont="1" applyFill="1" applyBorder="1"/>
    <xf numFmtId="9" fontId="21" fillId="16" borderId="35" xfId="3" applyFont="1" applyFill="1" applyBorder="1" applyAlignment="1">
      <alignment vertical="center"/>
    </xf>
    <xf numFmtId="44" fontId="40" fillId="18" borderId="0" xfId="2" applyFont="1" applyFill="1"/>
    <xf numFmtId="0" fontId="40" fillId="18" borderId="0" xfId="0" applyFont="1" applyFill="1"/>
    <xf numFmtId="0" fontId="23" fillId="19" borderId="0" xfId="0" applyFont="1" applyFill="1" applyAlignment="1">
      <alignment horizontal="center" vertical="center"/>
    </xf>
    <xf numFmtId="0" fontId="24" fillId="19" borderId="0" xfId="0" applyFont="1" applyFill="1"/>
    <xf numFmtId="166" fontId="31" fillId="19" borderId="0" xfId="2" applyNumberFormat="1" applyFont="1" applyFill="1" applyBorder="1" applyAlignment="1">
      <alignment horizontal="center" vertical="center"/>
    </xf>
    <xf numFmtId="166" fontId="31" fillId="19" borderId="0" xfId="2" applyNumberFormat="1" applyFont="1" applyFill="1" applyAlignment="1">
      <alignment horizontal="center" vertical="center"/>
    </xf>
    <xf numFmtId="167" fontId="0" fillId="0" borderId="0" xfId="0" applyNumberFormat="1"/>
    <xf numFmtId="10" fontId="53" fillId="3" borderId="0" xfId="3" applyNumberFormat="1" applyFont="1" applyFill="1" applyAlignment="1">
      <alignment horizontal="right"/>
    </xf>
    <xf numFmtId="10" fontId="36" fillId="0" borderId="0" xfId="3" applyNumberFormat="1" applyFont="1"/>
    <xf numFmtId="10" fontId="33" fillId="3" borderId="0" xfId="3" applyNumberFormat="1" applyFont="1" applyFill="1" applyAlignment="1">
      <alignment horizontal="right"/>
    </xf>
    <xf numFmtId="10" fontId="36" fillId="3" borderId="0" xfId="3" applyNumberFormat="1" applyFont="1" applyFill="1"/>
    <xf numFmtId="0" fontId="54" fillId="0" borderId="0" xfId="0" applyFont="1"/>
    <xf numFmtId="44" fontId="20" fillId="0" borderId="0" xfId="0" applyNumberFormat="1" applyFont="1"/>
    <xf numFmtId="0" fontId="5" fillId="5" borderId="3" xfId="0" applyFont="1" applyFill="1" applyBorder="1" applyAlignment="1">
      <alignment horizontal="center"/>
    </xf>
    <xf numFmtId="0" fontId="5" fillId="5" borderId="2" xfId="0" applyFont="1" applyFill="1" applyBorder="1" applyAlignment="1">
      <alignment horizontal="center"/>
    </xf>
    <xf numFmtId="0" fontId="61" fillId="17" borderId="0" xfId="0" applyFont="1" applyFill="1" applyAlignment="1">
      <alignment horizontal="center" vertical="center"/>
    </xf>
    <xf numFmtId="0" fontId="92" fillId="21" borderId="0" xfId="0" applyFont="1" applyFill="1" applyAlignment="1">
      <alignment horizontal="center"/>
    </xf>
    <xf numFmtId="10" fontId="87" fillId="20" borderId="0" xfId="3" applyNumberFormat="1" applyFont="1" applyFill="1" applyAlignment="1">
      <alignment horizontal="center" vertical="center"/>
    </xf>
    <xf numFmtId="44" fontId="87" fillId="18" borderId="0" xfId="0" applyNumberFormat="1" applyFont="1" applyFill="1"/>
    <xf numFmtId="0" fontId="87" fillId="18" borderId="0" xfId="0" applyFont="1" applyFill="1"/>
    <xf numFmtId="44" fontId="86" fillId="18" borderId="0" xfId="2" applyFont="1" applyFill="1" applyAlignment="1"/>
    <xf numFmtId="44" fontId="86" fillId="18" borderId="0" xfId="0" applyNumberFormat="1" applyFont="1" applyFill="1"/>
    <xf numFmtId="0" fontId="86" fillId="18" borderId="0" xfId="0" applyFont="1" applyFill="1"/>
    <xf numFmtId="44" fontId="86" fillId="18" borderId="0" xfId="0" applyNumberFormat="1" applyFont="1" applyFill="1" applyAlignment="1">
      <alignment horizontal="center"/>
    </xf>
    <xf numFmtId="44" fontId="80" fillId="18" borderId="0" xfId="0" applyNumberFormat="1" applyFont="1" applyFill="1"/>
    <xf numFmtId="0" fontId="80" fillId="18" borderId="0" xfId="0" applyFont="1" applyFill="1"/>
    <xf numFmtId="0" fontId="82" fillId="18" borderId="0" xfId="0" applyFont="1" applyFill="1" applyAlignment="1">
      <alignment horizontal="center" vertical="center" wrapText="1"/>
    </xf>
    <xf numFmtId="166" fontId="76" fillId="3" borderId="0" xfId="2" applyNumberFormat="1" applyFont="1" applyFill="1" applyAlignment="1">
      <alignment horizontal="center" vertical="center"/>
    </xf>
    <xf numFmtId="0" fontId="75" fillId="19" borderId="0" xfId="0" applyFont="1" applyFill="1" applyAlignment="1">
      <alignment horizontal="center" vertical="top"/>
    </xf>
    <xf numFmtId="0" fontId="83" fillId="19" borderId="0" xfId="0" applyFont="1" applyFill="1" applyAlignment="1">
      <alignment horizontal="center" vertical="center" wrapText="1"/>
    </xf>
    <xf numFmtId="166" fontId="76" fillId="21" borderId="0" xfId="2" applyNumberFormat="1" applyFont="1" applyFill="1" applyAlignment="1">
      <alignment horizontal="center" vertical="center"/>
    </xf>
    <xf numFmtId="0" fontId="47" fillId="18" borderId="0" xfId="0" applyFont="1" applyFill="1" applyAlignment="1">
      <alignment horizontal="center" vertical="center" wrapText="1"/>
    </xf>
    <xf numFmtId="0" fontId="47" fillId="18" borderId="0" xfId="0" applyFont="1" applyFill="1" applyAlignment="1">
      <alignment horizontal="center" vertical="center"/>
    </xf>
    <xf numFmtId="0" fontId="45" fillId="18" borderId="0" xfId="0" applyFont="1" applyFill="1" applyAlignment="1">
      <alignment horizontal="center" vertical="center"/>
    </xf>
    <xf numFmtId="44" fontId="80" fillId="18" borderId="0" xfId="2" applyFont="1" applyFill="1" applyAlignment="1"/>
    <xf numFmtId="44" fontId="86" fillId="18" borderId="0" xfId="2" applyFont="1" applyFill="1" applyAlignment="1">
      <alignment horizontal="right"/>
    </xf>
    <xf numFmtId="166" fontId="65" fillId="19" borderId="0" xfId="2" applyNumberFormat="1" applyFont="1" applyFill="1" applyAlignment="1">
      <alignment horizontal="center" vertical="center"/>
    </xf>
    <xf numFmtId="0" fontId="75" fillId="19" borderId="0" xfId="0" applyFont="1" applyFill="1" applyAlignment="1">
      <alignment horizontal="center" vertical="center"/>
    </xf>
    <xf numFmtId="0" fontId="75" fillId="19" borderId="0" xfId="0" applyFont="1" applyFill="1" applyAlignment="1">
      <alignment horizontal="center" vertical="center" wrapText="1"/>
    </xf>
    <xf numFmtId="0" fontId="46" fillId="18" borderId="0" xfId="0" applyFont="1" applyFill="1" applyAlignment="1">
      <alignment horizontal="center" vertical="center"/>
    </xf>
    <xf numFmtId="0" fontId="28" fillId="15" borderId="24" xfId="0" applyFont="1" applyFill="1" applyBorder="1" applyAlignment="1">
      <alignment horizontal="right" vertical="center"/>
    </xf>
    <xf numFmtId="0" fontId="28" fillId="15" borderId="23" xfId="0" applyFont="1" applyFill="1" applyBorder="1" applyAlignment="1">
      <alignment horizontal="right" vertical="center"/>
    </xf>
    <xf numFmtId="0" fontId="21" fillId="15" borderId="0" xfId="0" applyFont="1" applyFill="1" applyAlignment="1">
      <alignment horizontal="right" vertical="center" wrapText="1"/>
    </xf>
    <xf numFmtId="0" fontId="21" fillId="15" borderId="23" xfId="0" applyFont="1" applyFill="1" applyBorder="1" applyAlignment="1">
      <alignment horizontal="right" vertical="center" wrapText="1"/>
    </xf>
    <xf numFmtId="0" fontId="27" fillId="11" borderId="8" xfId="0" applyFont="1" applyFill="1" applyBorder="1" applyAlignment="1">
      <alignment horizontal="center" vertical="center" wrapText="1"/>
    </xf>
    <xf numFmtId="0" fontId="27" fillId="11" borderId="9" xfId="0" applyFont="1" applyFill="1" applyBorder="1" applyAlignment="1">
      <alignment horizontal="center" vertical="center"/>
    </xf>
    <xf numFmtId="0" fontId="27" fillId="11" borderId="10" xfId="0" applyFont="1" applyFill="1" applyBorder="1" applyAlignment="1">
      <alignment horizontal="center" vertical="center"/>
    </xf>
    <xf numFmtId="0" fontId="27" fillId="11" borderId="11" xfId="0" applyFont="1" applyFill="1" applyBorder="1" applyAlignment="1">
      <alignment horizontal="center" vertical="center"/>
    </xf>
    <xf numFmtId="0" fontId="29" fillId="10" borderId="0" xfId="0" applyFont="1" applyFill="1" applyAlignment="1">
      <alignment horizontal="center" vertical="center"/>
    </xf>
    <xf numFmtId="0" fontId="27" fillId="11" borderId="8" xfId="0" applyFont="1" applyFill="1" applyBorder="1" applyAlignment="1">
      <alignment horizontal="center" vertical="center"/>
    </xf>
    <xf numFmtId="0" fontId="51" fillId="13" borderId="21" xfId="0" applyFont="1" applyFill="1" applyBorder="1" applyAlignment="1">
      <alignment horizontal="center" vertical="center"/>
    </xf>
    <xf numFmtId="0" fontId="51" fillId="13" borderId="22" xfId="0" applyFont="1" applyFill="1" applyBorder="1" applyAlignment="1">
      <alignment horizontal="center" vertical="center"/>
    </xf>
    <xf numFmtId="0" fontId="34" fillId="17" borderId="27" xfId="0" applyFont="1" applyFill="1" applyBorder="1" applyAlignment="1">
      <alignment horizontal="center" vertical="center" wrapText="1"/>
    </xf>
    <xf numFmtId="0" fontId="34" fillId="17" borderId="28" xfId="0" applyFont="1" applyFill="1" applyBorder="1" applyAlignment="1">
      <alignment horizontal="center" vertical="center" wrapText="1"/>
    </xf>
    <xf numFmtId="0" fontId="28" fillId="13" borderId="25" xfId="0" applyFont="1" applyFill="1" applyBorder="1" applyAlignment="1">
      <alignment horizontal="left"/>
    </xf>
    <xf numFmtId="0" fontId="28" fillId="13" borderId="19" xfId="0" applyFont="1" applyFill="1" applyBorder="1" applyAlignment="1">
      <alignment horizontal="left"/>
    </xf>
    <xf numFmtId="0" fontId="28" fillId="13" borderId="8" xfId="0" applyFont="1" applyFill="1" applyBorder="1" applyAlignment="1">
      <alignment horizontal="left"/>
    </xf>
    <xf numFmtId="0" fontId="28" fillId="13" borderId="9" xfId="0" applyFont="1" applyFill="1" applyBorder="1" applyAlignment="1">
      <alignment horizontal="left"/>
    </xf>
    <xf numFmtId="0" fontId="27" fillId="11" borderId="8" xfId="0" applyFont="1" applyFill="1" applyBorder="1" applyAlignment="1">
      <alignment horizontal="center" wrapText="1"/>
    </xf>
    <xf numFmtId="0" fontId="27" fillId="11" borderId="9" xfId="0" applyFont="1" applyFill="1" applyBorder="1" applyAlignment="1">
      <alignment horizontal="center"/>
    </xf>
    <xf numFmtId="0" fontId="27" fillId="11" borderId="10" xfId="0" applyFont="1" applyFill="1" applyBorder="1" applyAlignment="1">
      <alignment horizontal="center"/>
    </xf>
    <xf numFmtId="0" fontId="27" fillId="11" borderId="11" xfId="0" applyFont="1" applyFill="1" applyBorder="1" applyAlignment="1">
      <alignment horizontal="center"/>
    </xf>
    <xf numFmtId="0" fontId="26" fillId="11" borderId="8" xfId="0" applyFont="1" applyFill="1" applyBorder="1" applyAlignment="1">
      <alignment horizontal="center" vertical="center" wrapText="1"/>
    </xf>
    <xf numFmtId="0" fontId="26" fillId="11" borderId="9" xfId="0" applyFont="1" applyFill="1" applyBorder="1" applyAlignment="1">
      <alignment horizontal="center" vertical="center"/>
    </xf>
    <xf numFmtId="0" fontId="26" fillId="11" borderId="10" xfId="0" applyFont="1" applyFill="1" applyBorder="1" applyAlignment="1">
      <alignment horizontal="center" vertical="center"/>
    </xf>
    <xf numFmtId="0" fontId="26" fillId="11" borderId="11" xfId="0" applyFont="1" applyFill="1" applyBorder="1" applyAlignment="1">
      <alignment horizontal="center" vertical="center"/>
    </xf>
    <xf numFmtId="10" fontId="34" fillId="17" borderId="0" xfId="3" applyNumberFormat="1" applyFont="1" applyFill="1" applyAlignment="1">
      <alignment horizontal="center"/>
    </xf>
    <xf numFmtId="0" fontId="22" fillId="5" borderId="0" xfId="0" applyFont="1" applyFill="1" applyAlignment="1">
      <alignment horizontal="center" vertical="center"/>
    </xf>
    <xf numFmtId="0" fontId="94" fillId="2" borderId="20" xfId="0" applyFont="1" applyFill="1" applyBorder="1" applyAlignment="1">
      <alignment horizontal="center" wrapText="1"/>
    </xf>
    <xf numFmtId="0" fontId="94" fillId="2" borderId="12" xfId="0" applyFont="1" applyFill="1" applyBorder="1" applyAlignment="1">
      <alignment horizont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9" defaultPivotStyle="PivotStyleLight16"/>
  <colors>
    <mruColors>
      <color rgb="FF034858"/>
      <color rgb="FF3AD674"/>
      <color rgb="FFFF4F4F"/>
      <color rgb="FFF4F1F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7" Type="http://schemas.openxmlformats.org/officeDocument/2006/relationships/image" Target="../media/image7.png"/><Relationship Id="rId2" Type="http://schemas.openxmlformats.org/officeDocument/2006/relationships/image" Target="../media/image3.png"/><Relationship Id="rId1" Type="http://schemas.openxmlformats.org/officeDocument/2006/relationships/hyperlink" Target="https://bnascimento.com.br/" TargetMode="External"/><Relationship Id="rId6" Type="http://schemas.openxmlformats.org/officeDocument/2006/relationships/image" Target="../media/image6.png"/><Relationship Id="rId5" Type="http://schemas.openxmlformats.org/officeDocument/2006/relationships/hyperlink" Target="https://bnascimento.com.br/rtnasaude-espera/" TargetMode="External"/><Relationship Id="rId4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248630</xdr:colOff>
      <xdr:row>0</xdr:row>
      <xdr:rowOff>190500</xdr:rowOff>
    </xdr:from>
    <xdr:to>
      <xdr:col>12</xdr:col>
      <xdr:colOff>0</xdr:colOff>
      <xdr:row>12</xdr:row>
      <xdr:rowOff>132933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34D52196-3445-03F1-55A7-74C71666E3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211030" y="190500"/>
          <a:ext cx="7838095" cy="333333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495299</xdr:colOff>
      <xdr:row>27</xdr:row>
      <xdr:rowOff>85724</xdr:rowOff>
    </xdr:from>
    <xdr:to>
      <xdr:col>3</xdr:col>
      <xdr:colOff>484280</xdr:colOff>
      <xdr:row>37</xdr:row>
      <xdr:rowOff>76199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5B1A8CCE-FFC7-4D32-9053-3275FCF0A8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95299" y="5467349"/>
          <a:ext cx="4256181" cy="18954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511889</xdr:colOff>
      <xdr:row>41</xdr:row>
      <xdr:rowOff>39818</xdr:rowOff>
    </xdr:from>
    <xdr:to>
      <xdr:col>17</xdr:col>
      <xdr:colOff>870858</xdr:colOff>
      <xdr:row>41</xdr:row>
      <xdr:rowOff>681360</xdr:rowOff>
    </xdr:to>
    <xdr:pic>
      <xdr:nvPicPr>
        <xdr:cNvPr id="116" name="Picture 115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AB3A125-893E-4D3D-9D72-74B4FDE972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050746" y="11986889"/>
          <a:ext cx="1706076" cy="641542"/>
        </a:xfrm>
        <a:prstGeom prst="rect">
          <a:avLst/>
        </a:prstGeom>
      </xdr:spPr>
    </xdr:pic>
    <xdr:clientData/>
  </xdr:twoCellAnchor>
  <xdr:twoCellAnchor>
    <xdr:from>
      <xdr:col>1</xdr:col>
      <xdr:colOff>1</xdr:colOff>
      <xdr:row>11</xdr:row>
      <xdr:rowOff>1</xdr:rowOff>
    </xdr:from>
    <xdr:to>
      <xdr:col>3</xdr:col>
      <xdr:colOff>1</xdr:colOff>
      <xdr:row>12</xdr:row>
      <xdr:rowOff>281828</xdr:rowOff>
    </xdr:to>
    <xdr:sp macro="" textlink="">
      <xdr:nvSpPr>
        <xdr:cNvPr id="7" name="Rectangle: Rounded Corners 6">
          <a:extLst>
            <a:ext uri="{FF2B5EF4-FFF2-40B4-BE49-F238E27FC236}">
              <a16:creationId xmlns:a16="http://schemas.microsoft.com/office/drawing/2014/main" id="{361101F7-64EF-4BE9-8B99-31CD9488CB7A}"/>
            </a:ext>
          </a:extLst>
        </xdr:cNvPr>
        <xdr:cNvSpPr/>
      </xdr:nvSpPr>
      <xdr:spPr>
        <a:xfrm>
          <a:off x="224119" y="3294530"/>
          <a:ext cx="2286000" cy="573180"/>
        </a:xfrm>
        <a:prstGeom prst="roundRect">
          <a:avLst/>
        </a:prstGeom>
        <a:solidFill>
          <a:srgbClr val="034858"/>
        </a:solidFill>
        <a:ln w="19050">
          <a:solidFill>
            <a:srgbClr val="3AD674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400" b="1">
              <a:solidFill>
                <a:srgbClr val="3AD674"/>
              </a:solidFill>
            </a:rPr>
            <a:t>CARNÊ</a:t>
          </a:r>
          <a:r>
            <a:rPr lang="pt-BR" sz="1400" b="1" baseline="0">
              <a:solidFill>
                <a:srgbClr val="3AD674"/>
              </a:solidFill>
            </a:rPr>
            <a:t> LEÃO</a:t>
          </a:r>
          <a:endParaRPr lang="pt-BR" sz="1400" b="1">
            <a:solidFill>
              <a:srgbClr val="3AD674"/>
            </a:solidFill>
          </a:endParaRPr>
        </a:p>
      </xdr:txBody>
    </xdr:sp>
    <xdr:clientData/>
  </xdr:twoCellAnchor>
  <xdr:twoCellAnchor>
    <xdr:from>
      <xdr:col>4</xdr:col>
      <xdr:colOff>0</xdr:colOff>
      <xdr:row>11</xdr:row>
      <xdr:rowOff>0</xdr:rowOff>
    </xdr:from>
    <xdr:to>
      <xdr:col>6</xdr:col>
      <xdr:colOff>0</xdr:colOff>
      <xdr:row>12</xdr:row>
      <xdr:rowOff>281827</xdr:rowOff>
    </xdr:to>
    <xdr:sp macro="" textlink="">
      <xdr:nvSpPr>
        <xdr:cNvPr id="9" name="Rectangle: Rounded Corners 8">
          <a:extLst>
            <a:ext uri="{FF2B5EF4-FFF2-40B4-BE49-F238E27FC236}">
              <a16:creationId xmlns:a16="http://schemas.microsoft.com/office/drawing/2014/main" id="{FBAEF2B0-9CC9-4008-B3CE-9AD3081D14C8}"/>
            </a:ext>
          </a:extLst>
        </xdr:cNvPr>
        <xdr:cNvSpPr/>
      </xdr:nvSpPr>
      <xdr:spPr>
        <a:xfrm>
          <a:off x="2723029" y="3294529"/>
          <a:ext cx="2286000" cy="573180"/>
        </a:xfrm>
        <a:prstGeom prst="roundRect">
          <a:avLst/>
        </a:prstGeom>
        <a:solidFill>
          <a:srgbClr val="034858"/>
        </a:solidFill>
        <a:ln w="19050">
          <a:solidFill>
            <a:srgbClr val="3AD674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400" b="1">
              <a:solidFill>
                <a:srgbClr val="3AD674"/>
              </a:solidFill>
            </a:rPr>
            <a:t>CLT</a:t>
          </a:r>
        </a:p>
      </xdr:txBody>
    </xdr:sp>
    <xdr:clientData/>
  </xdr:twoCellAnchor>
  <xdr:twoCellAnchor>
    <xdr:from>
      <xdr:col>7</xdr:col>
      <xdr:colOff>0</xdr:colOff>
      <xdr:row>11</xdr:row>
      <xdr:rowOff>0</xdr:rowOff>
    </xdr:from>
    <xdr:to>
      <xdr:col>9</xdr:col>
      <xdr:colOff>0</xdr:colOff>
      <xdr:row>12</xdr:row>
      <xdr:rowOff>281827</xdr:rowOff>
    </xdr:to>
    <xdr:sp macro="" textlink="">
      <xdr:nvSpPr>
        <xdr:cNvPr id="11" name="Rectangle: Rounded Corners 10">
          <a:extLst>
            <a:ext uri="{FF2B5EF4-FFF2-40B4-BE49-F238E27FC236}">
              <a16:creationId xmlns:a16="http://schemas.microsoft.com/office/drawing/2014/main" id="{9F31FBA5-6E12-202A-8F93-31F731B9ECA9}"/>
            </a:ext>
          </a:extLst>
        </xdr:cNvPr>
        <xdr:cNvSpPr/>
      </xdr:nvSpPr>
      <xdr:spPr>
        <a:xfrm>
          <a:off x="5221941" y="3294529"/>
          <a:ext cx="2286000" cy="573180"/>
        </a:xfrm>
        <a:prstGeom prst="roundRect">
          <a:avLst/>
        </a:prstGeom>
        <a:solidFill>
          <a:srgbClr val="034858"/>
        </a:solidFill>
        <a:ln w="19050">
          <a:solidFill>
            <a:srgbClr val="3AD674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tIns="0" bIns="0" rtlCol="0" anchor="ctr"/>
        <a:lstStyle/>
        <a:p>
          <a:pPr algn="ctr">
            <a:lnSpc>
              <a:spcPct val="75000"/>
            </a:lnSpc>
          </a:pPr>
          <a:r>
            <a:rPr lang="pt-BR" sz="1400" b="1">
              <a:solidFill>
                <a:srgbClr val="3AD674"/>
              </a:solidFill>
            </a:rPr>
            <a:t>SIMPLES NACIONAL </a:t>
          </a:r>
          <a:br>
            <a:rPr lang="pt-BR" sz="1400" b="1">
              <a:solidFill>
                <a:srgbClr val="3AD674"/>
              </a:solidFill>
            </a:rPr>
          </a:br>
          <a:r>
            <a:rPr lang="pt-BR" sz="1200" b="0">
              <a:solidFill>
                <a:srgbClr val="3AD674"/>
              </a:solidFill>
            </a:rPr>
            <a:t>ANEXO 3</a:t>
          </a:r>
          <a:endParaRPr lang="pt-BR" sz="1400" b="0">
            <a:solidFill>
              <a:srgbClr val="3AD674"/>
            </a:solidFill>
          </a:endParaRPr>
        </a:p>
      </xdr:txBody>
    </xdr:sp>
    <xdr:clientData/>
  </xdr:twoCellAnchor>
  <xdr:twoCellAnchor>
    <xdr:from>
      <xdr:col>10</xdr:col>
      <xdr:colOff>0</xdr:colOff>
      <xdr:row>11</xdr:row>
      <xdr:rowOff>0</xdr:rowOff>
    </xdr:from>
    <xdr:to>
      <xdr:col>12</xdr:col>
      <xdr:colOff>0</xdr:colOff>
      <xdr:row>12</xdr:row>
      <xdr:rowOff>281827</xdr:rowOff>
    </xdr:to>
    <xdr:sp macro="" textlink="">
      <xdr:nvSpPr>
        <xdr:cNvPr id="12" name="Rectangle: Rounded Corners 11">
          <a:extLst>
            <a:ext uri="{FF2B5EF4-FFF2-40B4-BE49-F238E27FC236}">
              <a16:creationId xmlns:a16="http://schemas.microsoft.com/office/drawing/2014/main" id="{4590BE99-7B9F-C022-C029-E837F5076A39}"/>
            </a:ext>
          </a:extLst>
        </xdr:cNvPr>
        <xdr:cNvSpPr/>
      </xdr:nvSpPr>
      <xdr:spPr>
        <a:xfrm>
          <a:off x="7720853" y="3294529"/>
          <a:ext cx="2286000" cy="573180"/>
        </a:xfrm>
        <a:prstGeom prst="roundRect">
          <a:avLst/>
        </a:prstGeom>
        <a:solidFill>
          <a:srgbClr val="034858"/>
        </a:solidFill>
        <a:ln w="19050">
          <a:solidFill>
            <a:srgbClr val="3AD674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tIns="0" bIns="0" rtlCol="0" anchor="ctr"/>
        <a:lstStyle/>
        <a:p>
          <a:pPr algn="ctr">
            <a:lnSpc>
              <a:spcPct val="75000"/>
            </a:lnSpc>
          </a:pPr>
          <a:r>
            <a:rPr lang="pt-BR" sz="1400" b="1">
              <a:solidFill>
                <a:srgbClr val="3AD674"/>
              </a:solidFill>
            </a:rPr>
            <a:t>SIMPLES NACIONAL</a:t>
          </a:r>
          <a:br>
            <a:rPr lang="pt-BR" sz="1200" b="1">
              <a:solidFill>
                <a:srgbClr val="3AD674"/>
              </a:solidFill>
            </a:rPr>
          </a:br>
          <a:r>
            <a:rPr lang="pt-BR" sz="1200" b="0">
              <a:solidFill>
                <a:srgbClr val="3AD674"/>
              </a:solidFill>
            </a:rPr>
            <a:t>ANEXO 5</a:t>
          </a:r>
        </a:p>
      </xdr:txBody>
    </xdr:sp>
    <xdr:clientData/>
  </xdr:twoCellAnchor>
  <xdr:twoCellAnchor>
    <xdr:from>
      <xdr:col>13</xdr:col>
      <xdr:colOff>0</xdr:colOff>
      <xdr:row>11</xdr:row>
      <xdr:rowOff>0</xdr:rowOff>
    </xdr:from>
    <xdr:to>
      <xdr:col>16</xdr:col>
      <xdr:colOff>0</xdr:colOff>
      <xdr:row>13</xdr:row>
      <xdr:rowOff>559</xdr:rowOff>
    </xdr:to>
    <xdr:sp macro="" textlink="">
      <xdr:nvSpPr>
        <xdr:cNvPr id="13" name="Rectangle: Rounded Corners 12">
          <a:extLst>
            <a:ext uri="{FF2B5EF4-FFF2-40B4-BE49-F238E27FC236}">
              <a16:creationId xmlns:a16="http://schemas.microsoft.com/office/drawing/2014/main" id="{CED721EF-1E61-97C7-A0E9-9541C17FA842}"/>
            </a:ext>
          </a:extLst>
        </xdr:cNvPr>
        <xdr:cNvSpPr/>
      </xdr:nvSpPr>
      <xdr:spPr>
        <a:xfrm>
          <a:off x="10376647" y="4728882"/>
          <a:ext cx="2330824" cy="448795"/>
        </a:xfrm>
        <a:prstGeom prst="roundRect">
          <a:avLst/>
        </a:prstGeom>
        <a:solidFill>
          <a:srgbClr val="034858"/>
        </a:solidFill>
        <a:ln w="19050">
          <a:solidFill>
            <a:srgbClr val="3AD674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tIns="0" bIns="0" rtlCol="0" anchor="ctr"/>
        <a:lstStyle/>
        <a:p>
          <a:pPr algn="ctr">
            <a:lnSpc>
              <a:spcPct val="85000"/>
            </a:lnSpc>
          </a:pPr>
          <a:r>
            <a:rPr lang="pt-BR" sz="1400" b="1">
              <a:solidFill>
                <a:srgbClr val="3AD674"/>
              </a:solidFill>
            </a:rPr>
            <a:t>LUCRO</a:t>
          </a:r>
          <a:r>
            <a:rPr lang="pt-BR" sz="1400" b="1" baseline="0">
              <a:solidFill>
                <a:srgbClr val="3AD674"/>
              </a:solidFill>
            </a:rPr>
            <a:t> PRESUMIDO</a:t>
          </a:r>
          <a:endParaRPr lang="pt-BR" sz="1400" b="1">
            <a:solidFill>
              <a:srgbClr val="3AD674"/>
            </a:solidFill>
          </a:endParaRPr>
        </a:p>
      </xdr:txBody>
    </xdr:sp>
    <xdr:clientData/>
  </xdr:twoCellAnchor>
  <xdr:twoCellAnchor>
    <xdr:from>
      <xdr:col>17</xdr:col>
      <xdr:colOff>0</xdr:colOff>
      <xdr:row>11</xdr:row>
      <xdr:rowOff>0</xdr:rowOff>
    </xdr:from>
    <xdr:to>
      <xdr:col>19</xdr:col>
      <xdr:colOff>0</xdr:colOff>
      <xdr:row>12</xdr:row>
      <xdr:rowOff>224677</xdr:rowOff>
    </xdr:to>
    <xdr:sp macro="" textlink="">
      <xdr:nvSpPr>
        <xdr:cNvPr id="15" name="Rectangle: Rounded Corners 14">
          <a:extLst>
            <a:ext uri="{FF2B5EF4-FFF2-40B4-BE49-F238E27FC236}">
              <a16:creationId xmlns:a16="http://schemas.microsoft.com/office/drawing/2014/main" id="{189C3498-D5AA-E00E-E9F1-E1105F55500A}"/>
            </a:ext>
          </a:extLst>
        </xdr:cNvPr>
        <xdr:cNvSpPr/>
      </xdr:nvSpPr>
      <xdr:spPr>
        <a:xfrm>
          <a:off x="12902045" y="4727864"/>
          <a:ext cx="2286000" cy="449813"/>
        </a:xfrm>
        <a:prstGeom prst="roundRect">
          <a:avLst/>
        </a:prstGeom>
        <a:solidFill>
          <a:srgbClr val="034858"/>
        </a:solidFill>
        <a:ln w="19050">
          <a:solidFill>
            <a:srgbClr val="3AD674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tIns="0" bIns="0" rtlCol="0" anchor="ctr"/>
        <a:lstStyle/>
        <a:p>
          <a:pPr algn="ctr">
            <a:lnSpc>
              <a:spcPct val="75000"/>
            </a:lnSpc>
          </a:pPr>
          <a:r>
            <a:rPr lang="pt-BR" sz="1400" b="1">
              <a:solidFill>
                <a:srgbClr val="3AD674"/>
              </a:solidFill>
            </a:rPr>
            <a:t>LUCRO</a:t>
          </a:r>
          <a:r>
            <a:rPr lang="pt-BR" sz="1400" b="1" baseline="0">
              <a:solidFill>
                <a:srgbClr val="3AD674"/>
              </a:solidFill>
            </a:rPr>
            <a:t> PRESUMIDO</a:t>
          </a:r>
          <a:br>
            <a:rPr lang="pt-BR" sz="1200" b="1" baseline="0">
              <a:solidFill>
                <a:srgbClr val="3AD674"/>
              </a:solidFill>
            </a:rPr>
          </a:br>
          <a:r>
            <a:rPr lang="pt-BR" sz="1200" b="0" baseline="0">
              <a:solidFill>
                <a:srgbClr val="3AD674"/>
              </a:solidFill>
            </a:rPr>
            <a:t>UNIPROFISSIONAL</a:t>
          </a:r>
          <a:endParaRPr lang="pt-BR" sz="1200" b="0">
            <a:solidFill>
              <a:srgbClr val="3AD674"/>
            </a:solidFill>
          </a:endParaRPr>
        </a:p>
      </xdr:txBody>
    </xdr:sp>
    <xdr:clientData/>
  </xdr:twoCellAnchor>
  <xdr:twoCellAnchor>
    <xdr:from>
      <xdr:col>1</xdr:col>
      <xdr:colOff>0</xdr:colOff>
      <xdr:row>7</xdr:row>
      <xdr:rowOff>0</xdr:rowOff>
    </xdr:from>
    <xdr:to>
      <xdr:col>6</xdr:col>
      <xdr:colOff>0</xdr:colOff>
      <xdr:row>10</xdr:row>
      <xdr:rowOff>2402</xdr:rowOff>
    </xdr:to>
    <xdr:sp macro="" textlink="">
      <xdr:nvSpPr>
        <xdr:cNvPr id="18" name="Rectangle: Rounded Corners 17">
          <a:extLst>
            <a:ext uri="{FF2B5EF4-FFF2-40B4-BE49-F238E27FC236}">
              <a16:creationId xmlns:a16="http://schemas.microsoft.com/office/drawing/2014/main" id="{5960DB88-C3BD-4EF9-8592-C8209FE1C9CA}"/>
            </a:ext>
          </a:extLst>
        </xdr:cNvPr>
        <xdr:cNvSpPr/>
      </xdr:nvSpPr>
      <xdr:spPr>
        <a:xfrm>
          <a:off x="219075" y="2533650"/>
          <a:ext cx="4781550" cy="373877"/>
        </a:xfrm>
        <a:prstGeom prst="roundRect">
          <a:avLst/>
        </a:prstGeom>
        <a:solidFill>
          <a:srgbClr val="3AD674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2400" b="1">
              <a:solidFill>
                <a:srgbClr val="034858"/>
              </a:solidFill>
            </a:rPr>
            <a:t>PF OU CLT</a:t>
          </a:r>
        </a:p>
      </xdr:txBody>
    </xdr:sp>
    <xdr:clientData/>
  </xdr:twoCellAnchor>
  <xdr:twoCellAnchor>
    <xdr:from>
      <xdr:col>7</xdr:col>
      <xdr:colOff>1</xdr:colOff>
      <xdr:row>7</xdr:row>
      <xdr:rowOff>0</xdr:rowOff>
    </xdr:from>
    <xdr:to>
      <xdr:col>22</xdr:col>
      <xdr:colOff>0</xdr:colOff>
      <xdr:row>10</xdr:row>
      <xdr:rowOff>2402</xdr:rowOff>
    </xdr:to>
    <xdr:sp macro="" textlink="">
      <xdr:nvSpPr>
        <xdr:cNvPr id="19" name="Rectangle: Rounded Corners 18">
          <a:extLst>
            <a:ext uri="{FF2B5EF4-FFF2-40B4-BE49-F238E27FC236}">
              <a16:creationId xmlns:a16="http://schemas.microsoft.com/office/drawing/2014/main" id="{2654D2A1-5678-BA28-5DE2-3A3972E261DA}"/>
            </a:ext>
          </a:extLst>
        </xdr:cNvPr>
        <xdr:cNvSpPr/>
      </xdr:nvSpPr>
      <xdr:spPr>
        <a:xfrm>
          <a:off x="5368637" y="4139045"/>
          <a:ext cx="12486408" cy="469993"/>
        </a:xfrm>
        <a:prstGeom prst="roundRect">
          <a:avLst/>
        </a:prstGeom>
        <a:solidFill>
          <a:srgbClr val="3AD674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2400" b="1">
              <a:solidFill>
                <a:srgbClr val="034858"/>
              </a:solidFill>
            </a:rPr>
            <a:t>CNPJ</a:t>
          </a:r>
        </a:p>
      </xdr:txBody>
    </xdr:sp>
    <xdr:clientData/>
  </xdr:twoCellAnchor>
  <xdr:twoCellAnchor>
    <xdr:from>
      <xdr:col>1</xdr:col>
      <xdr:colOff>0</xdr:colOff>
      <xdr:row>17</xdr:row>
      <xdr:rowOff>23814</xdr:rowOff>
    </xdr:from>
    <xdr:to>
      <xdr:col>3</xdr:col>
      <xdr:colOff>0</xdr:colOff>
      <xdr:row>26</xdr:row>
      <xdr:rowOff>5953</xdr:rowOff>
    </xdr:to>
    <xdr:grpSp>
      <xdr:nvGrpSpPr>
        <xdr:cNvPr id="27" name="Group 26">
          <a:extLst>
            <a:ext uri="{FF2B5EF4-FFF2-40B4-BE49-F238E27FC236}">
              <a16:creationId xmlns:a16="http://schemas.microsoft.com/office/drawing/2014/main" id="{3182AF03-CA24-EE45-A3B6-BFF1EDD30CD6}"/>
            </a:ext>
          </a:extLst>
        </xdr:cNvPr>
        <xdr:cNvGrpSpPr/>
      </xdr:nvGrpSpPr>
      <xdr:grpSpPr>
        <a:xfrm>
          <a:off x="391886" y="6141585"/>
          <a:ext cx="2351314" cy="2083082"/>
          <a:chOff x="217714" y="4650243"/>
          <a:chExt cx="2286000" cy="2186496"/>
        </a:xfrm>
      </xdr:grpSpPr>
      <xdr:cxnSp macro="">
        <xdr:nvCxnSpPr>
          <xdr:cNvPr id="21" name="Conector reto 79">
            <a:extLst>
              <a:ext uri="{FF2B5EF4-FFF2-40B4-BE49-F238E27FC236}">
                <a16:creationId xmlns:a16="http://schemas.microsoft.com/office/drawing/2014/main" id="{9F3ABC2A-1B32-4433-A826-5011CB5410FE}"/>
              </a:ext>
            </a:extLst>
          </xdr:cNvPr>
          <xdr:cNvCxnSpPr/>
        </xdr:nvCxnSpPr>
        <xdr:spPr>
          <a:xfrm>
            <a:off x="217714" y="6836739"/>
            <a:ext cx="2286000" cy="0"/>
          </a:xfrm>
          <a:prstGeom prst="line">
            <a:avLst/>
          </a:prstGeom>
          <a:ln w="19050">
            <a:solidFill>
              <a:srgbClr val="3AD674"/>
            </a:solidFill>
          </a:ln>
          <a:effectLst/>
        </xdr:spPr>
        <xdr:style>
          <a:lnRef idx="3">
            <a:schemeClr val="dk1"/>
          </a:lnRef>
          <a:fillRef idx="0">
            <a:schemeClr val="dk1"/>
          </a:fillRef>
          <a:effectRef idx="2">
            <a:schemeClr val="dk1"/>
          </a:effectRef>
          <a:fontRef idx="minor">
            <a:schemeClr val="tx1"/>
          </a:fontRef>
        </xdr:style>
      </xdr:cxnSp>
      <xdr:cxnSp macro="">
        <xdr:nvCxnSpPr>
          <xdr:cNvPr id="23" name="Conector reto 79">
            <a:extLst>
              <a:ext uri="{FF2B5EF4-FFF2-40B4-BE49-F238E27FC236}">
                <a16:creationId xmlns:a16="http://schemas.microsoft.com/office/drawing/2014/main" id="{9CDCCF27-A8C6-3466-3C28-7602F922C958}"/>
              </a:ext>
            </a:extLst>
          </xdr:cNvPr>
          <xdr:cNvCxnSpPr/>
        </xdr:nvCxnSpPr>
        <xdr:spPr>
          <a:xfrm>
            <a:off x="217714" y="6101953"/>
            <a:ext cx="2286000" cy="0"/>
          </a:xfrm>
          <a:prstGeom prst="line">
            <a:avLst/>
          </a:prstGeom>
          <a:ln w="19050">
            <a:solidFill>
              <a:srgbClr val="3AD674"/>
            </a:solidFill>
          </a:ln>
          <a:effectLst/>
        </xdr:spPr>
        <xdr:style>
          <a:lnRef idx="3">
            <a:schemeClr val="dk1"/>
          </a:lnRef>
          <a:fillRef idx="0">
            <a:schemeClr val="dk1"/>
          </a:fillRef>
          <a:effectRef idx="2">
            <a:schemeClr val="dk1"/>
          </a:effectRef>
          <a:fontRef idx="minor">
            <a:schemeClr val="tx1"/>
          </a:fontRef>
        </xdr:style>
      </xdr:cxnSp>
      <xdr:cxnSp macro="">
        <xdr:nvCxnSpPr>
          <xdr:cNvPr id="24" name="Conector reto 79">
            <a:extLst>
              <a:ext uri="{FF2B5EF4-FFF2-40B4-BE49-F238E27FC236}">
                <a16:creationId xmlns:a16="http://schemas.microsoft.com/office/drawing/2014/main" id="{EAB19DA3-8DAB-84E3-C98C-596890F0DAB1}"/>
              </a:ext>
            </a:extLst>
          </xdr:cNvPr>
          <xdr:cNvCxnSpPr/>
        </xdr:nvCxnSpPr>
        <xdr:spPr>
          <a:xfrm>
            <a:off x="217714" y="5379074"/>
            <a:ext cx="2286000" cy="0"/>
          </a:xfrm>
          <a:prstGeom prst="line">
            <a:avLst/>
          </a:prstGeom>
          <a:ln w="19050">
            <a:solidFill>
              <a:srgbClr val="3AD674"/>
            </a:solidFill>
          </a:ln>
          <a:effectLst/>
        </xdr:spPr>
        <xdr:style>
          <a:lnRef idx="3">
            <a:schemeClr val="dk1"/>
          </a:lnRef>
          <a:fillRef idx="0">
            <a:schemeClr val="dk1"/>
          </a:fillRef>
          <a:effectRef idx="2">
            <a:schemeClr val="dk1"/>
          </a:effectRef>
          <a:fontRef idx="minor">
            <a:schemeClr val="tx1"/>
          </a:fontRef>
        </xdr:style>
      </xdr:cxnSp>
      <xdr:cxnSp macro="">
        <xdr:nvCxnSpPr>
          <xdr:cNvPr id="25" name="Conector reto 79">
            <a:extLst>
              <a:ext uri="{FF2B5EF4-FFF2-40B4-BE49-F238E27FC236}">
                <a16:creationId xmlns:a16="http://schemas.microsoft.com/office/drawing/2014/main" id="{AD8B03F3-4B17-5A4A-278A-777B02F26155}"/>
              </a:ext>
            </a:extLst>
          </xdr:cNvPr>
          <xdr:cNvCxnSpPr/>
        </xdr:nvCxnSpPr>
        <xdr:spPr>
          <a:xfrm>
            <a:off x="217714" y="4650243"/>
            <a:ext cx="2286000" cy="0"/>
          </a:xfrm>
          <a:prstGeom prst="line">
            <a:avLst/>
          </a:prstGeom>
          <a:ln w="19050">
            <a:solidFill>
              <a:srgbClr val="3AD674"/>
            </a:solidFill>
          </a:ln>
          <a:effectLst/>
        </xdr:spPr>
        <xdr:style>
          <a:lnRef idx="3">
            <a:schemeClr val="dk1"/>
          </a:lnRef>
          <a:fillRef idx="0">
            <a:schemeClr val="dk1"/>
          </a:fillRef>
          <a:effectRef idx="2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1</xdr:col>
      <xdr:colOff>0</xdr:colOff>
      <xdr:row>30</xdr:row>
      <xdr:rowOff>0</xdr:rowOff>
    </xdr:from>
    <xdr:to>
      <xdr:col>3</xdr:col>
      <xdr:colOff>0</xdr:colOff>
      <xdr:row>30</xdr:row>
      <xdr:rowOff>0</xdr:rowOff>
    </xdr:to>
    <xdr:cxnSp macro="">
      <xdr:nvCxnSpPr>
        <xdr:cNvPr id="26" name="Conector reto 79">
          <a:extLst>
            <a:ext uri="{FF2B5EF4-FFF2-40B4-BE49-F238E27FC236}">
              <a16:creationId xmlns:a16="http://schemas.microsoft.com/office/drawing/2014/main" id="{3DDFD052-77B7-5C0C-A38E-40656F2D5106}"/>
            </a:ext>
          </a:extLst>
        </xdr:cNvPr>
        <xdr:cNvCxnSpPr/>
      </xdr:nvCxnSpPr>
      <xdr:spPr>
        <a:xfrm>
          <a:off x="224118" y="9043147"/>
          <a:ext cx="2286000" cy="0"/>
        </a:xfrm>
        <a:prstGeom prst="line">
          <a:avLst/>
        </a:prstGeom>
        <a:ln w="19050">
          <a:solidFill>
            <a:srgbClr val="F4F1F0"/>
          </a:solidFill>
        </a:ln>
        <a:effectLst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17</xdr:row>
      <xdr:rowOff>23814</xdr:rowOff>
    </xdr:from>
    <xdr:to>
      <xdr:col>6</xdr:col>
      <xdr:colOff>0</xdr:colOff>
      <xdr:row>26</xdr:row>
      <xdr:rowOff>5953</xdr:rowOff>
    </xdr:to>
    <xdr:grpSp>
      <xdr:nvGrpSpPr>
        <xdr:cNvPr id="29" name="Group 28">
          <a:extLst>
            <a:ext uri="{FF2B5EF4-FFF2-40B4-BE49-F238E27FC236}">
              <a16:creationId xmlns:a16="http://schemas.microsoft.com/office/drawing/2014/main" id="{C797D219-6354-91A4-2D6C-E640D8914F1B}"/>
            </a:ext>
          </a:extLst>
        </xdr:cNvPr>
        <xdr:cNvGrpSpPr/>
      </xdr:nvGrpSpPr>
      <xdr:grpSpPr>
        <a:xfrm>
          <a:off x="2960914" y="6141585"/>
          <a:ext cx="2351315" cy="2083082"/>
          <a:chOff x="217714" y="4650243"/>
          <a:chExt cx="2286000" cy="2186496"/>
        </a:xfrm>
      </xdr:grpSpPr>
      <xdr:cxnSp macro="">
        <xdr:nvCxnSpPr>
          <xdr:cNvPr id="30" name="Conector reto 79">
            <a:extLst>
              <a:ext uri="{FF2B5EF4-FFF2-40B4-BE49-F238E27FC236}">
                <a16:creationId xmlns:a16="http://schemas.microsoft.com/office/drawing/2014/main" id="{46DAFB1C-14F0-5881-A861-700030F17DF1}"/>
              </a:ext>
            </a:extLst>
          </xdr:cNvPr>
          <xdr:cNvCxnSpPr/>
        </xdr:nvCxnSpPr>
        <xdr:spPr>
          <a:xfrm>
            <a:off x="217714" y="6836739"/>
            <a:ext cx="2286000" cy="0"/>
          </a:xfrm>
          <a:prstGeom prst="line">
            <a:avLst/>
          </a:prstGeom>
          <a:ln w="19050">
            <a:solidFill>
              <a:srgbClr val="3AD674"/>
            </a:solidFill>
          </a:ln>
          <a:effectLst/>
        </xdr:spPr>
        <xdr:style>
          <a:lnRef idx="3">
            <a:schemeClr val="dk1"/>
          </a:lnRef>
          <a:fillRef idx="0">
            <a:schemeClr val="dk1"/>
          </a:fillRef>
          <a:effectRef idx="2">
            <a:schemeClr val="dk1"/>
          </a:effectRef>
          <a:fontRef idx="minor">
            <a:schemeClr val="tx1"/>
          </a:fontRef>
        </xdr:style>
      </xdr:cxnSp>
      <xdr:cxnSp macro="">
        <xdr:nvCxnSpPr>
          <xdr:cNvPr id="31" name="Conector reto 79">
            <a:extLst>
              <a:ext uri="{FF2B5EF4-FFF2-40B4-BE49-F238E27FC236}">
                <a16:creationId xmlns:a16="http://schemas.microsoft.com/office/drawing/2014/main" id="{58E710C5-C24C-C677-6CFF-CDF4B18A4CDB}"/>
              </a:ext>
            </a:extLst>
          </xdr:cNvPr>
          <xdr:cNvCxnSpPr/>
        </xdr:nvCxnSpPr>
        <xdr:spPr>
          <a:xfrm>
            <a:off x="217714" y="6101953"/>
            <a:ext cx="2286000" cy="0"/>
          </a:xfrm>
          <a:prstGeom prst="line">
            <a:avLst/>
          </a:prstGeom>
          <a:ln w="19050">
            <a:solidFill>
              <a:srgbClr val="3AD674"/>
            </a:solidFill>
          </a:ln>
          <a:effectLst/>
        </xdr:spPr>
        <xdr:style>
          <a:lnRef idx="3">
            <a:schemeClr val="dk1"/>
          </a:lnRef>
          <a:fillRef idx="0">
            <a:schemeClr val="dk1"/>
          </a:fillRef>
          <a:effectRef idx="2">
            <a:schemeClr val="dk1"/>
          </a:effectRef>
          <a:fontRef idx="minor">
            <a:schemeClr val="tx1"/>
          </a:fontRef>
        </xdr:style>
      </xdr:cxnSp>
      <xdr:cxnSp macro="">
        <xdr:nvCxnSpPr>
          <xdr:cNvPr id="32" name="Conector reto 79">
            <a:extLst>
              <a:ext uri="{FF2B5EF4-FFF2-40B4-BE49-F238E27FC236}">
                <a16:creationId xmlns:a16="http://schemas.microsoft.com/office/drawing/2014/main" id="{A2962BD7-7FDD-23E7-0F6C-38D6C5A6C269}"/>
              </a:ext>
            </a:extLst>
          </xdr:cNvPr>
          <xdr:cNvCxnSpPr/>
        </xdr:nvCxnSpPr>
        <xdr:spPr>
          <a:xfrm>
            <a:off x="217714" y="5379074"/>
            <a:ext cx="2286000" cy="0"/>
          </a:xfrm>
          <a:prstGeom prst="line">
            <a:avLst/>
          </a:prstGeom>
          <a:ln w="19050">
            <a:solidFill>
              <a:srgbClr val="3AD674"/>
            </a:solidFill>
          </a:ln>
          <a:effectLst/>
        </xdr:spPr>
        <xdr:style>
          <a:lnRef idx="3">
            <a:schemeClr val="dk1"/>
          </a:lnRef>
          <a:fillRef idx="0">
            <a:schemeClr val="dk1"/>
          </a:fillRef>
          <a:effectRef idx="2">
            <a:schemeClr val="dk1"/>
          </a:effectRef>
          <a:fontRef idx="minor">
            <a:schemeClr val="tx1"/>
          </a:fontRef>
        </xdr:style>
      </xdr:cxnSp>
      <xdr:cxnSp macro="">
        <xdr:nvCxnSpPr>
          <xdr:cNvPr id="33" name="Conector reto 79">
            <a:extLst>
              <a:ext uri="{FF2B5EF4-FFF2-40B4-BE49-F238E27FC236}">
                <a16:creationId xmlns:a16="http://schemas.microsoft.com/office/drawing/2014/main" id="{5F0EFD65-DBC9-7ACA-C211-23C4224CE18E}"/>
              </a:ext>
            </a:extLst>
          </xdr:cNvPr>
          <xdr:cNvCxnSpPr/>
        </xdr:nvCxnSpPr>
        <xdr:spPr>
          <a:xfrm>
            <a:off x="217714" y="4650243"/>
            <a:ext cx="2286000" cy="0"/>
          </a:xfrm>
          <a:prstGeom prst="line">
            <a:avLst/>
          </a:prstGeom>
          <a:ln w="19050">
            <a:solidFill>
              <a:srgbClr val="3AD674"/>
            </a:solidFill>
          </a:ln>
          <a:effectLst/>
        </xdr:spPr>
        <xdr:style>
          <a:lnRef idx="3">
            <a:schemeClr val="dk1"/>
          </a:lnRef>
          <a:fillRef idx="0">
            <a:schemeClr val="dk1"/>
          </a:fillRef>
          <a:effectRef idx="2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7</xdr:col>
      <xdr:colOff>0</xdr:colOff>
      <xdr:row>17</xdr:row>
      <xdr:rowOff>23814</xdr:rowOff>
    </xdr:from>
    <xdr:to>
      <xdr:col>9</xdr:col>
      <xdr:colOff>0</xdr:colOff>
      <xdr:row>26</xdr:row>
      <xdr:rowOff>5953</xdr:rowOff>
    </xdr:to>
    <xdr:grpSp>
      <xdr:nvGrpSpPr>
        <xdr:cNvPr id="36" name="Group 35">
          <a:extLst>
            <a:ext uri="{FF2B5EF4-FFF2-40B4-BE49-F238E27FC236}">
              <a16:creationId xmlns:a16="http://schemas.microsoft.com/office/drawing/2014/main" id="{AC71756F-C013-6EE6-072C-63574992AB93}"/>
            </a:ext>
          </a:extLst>
        </xdr:cNvPr>
        <xdr:cNvGrpSpPr/>
      </xdr:nvGrpSpPr>
      <xdr:grpSpPr>
        <a:xfrm>
          <a:off x="5529943" y="6141585"/>
          <a:ext cx="2351314" cy="2083082"/>
          <a:chOff x="217714" y="4650243"/>
          <a:chExt cx="2286000" cy="2186496"/>
        </a:xfrm>
      </xdr:grpSpPr>
      <xdr:cxnSp macro="">
        <xdr:nvCxnSpPr>
          <xdr:cNvPr id="37" name="Conector reto 79">
            <a:extLst>
              <a:ext uri="{FF2B5EF4-FFF2-40B4-BE49-F238E27FC236}">
                <a16:creationId xmlns:a16="http://schemas.microsoft.com/office/drawing/2014/main" id="{C5EC35A7-5E17-4D2A-A5BE-BF83010634C2}"/>
              </a:ext>
            </a:extLst>
          </xdr:cNvPr>
          <xdr:cNvCxnSpPr/>
        </xdr:nvCxnSpPr>
        <xdr:spPr>
          <a:xfrm>
            <a:off x="217714" y="6836739"/>
            <a:ext cx="2286000" cy="0"/>
          </a:xfrm>
          <a:prstGeom prst="line">
            <a:avLst/>
          </a:prstGeom>
          <a:ln w="19050">
            <a:solidFill>
              <a:srgbClr val="3AD674"/>
            </a:solidFill>
          </a:ln>
          <a:effectLst/>
        </xdr:spPr>
        <xdr:style>
          <a:lnRef idx="3">
            <a:schemeClr val="dk1"/>
          </a:lnRef>
          <a:fillRef idx="0">
            <a:schemeClr val="dk1"/>
          </a:fillRef>
          <a:effectRef idx="2">
            <a:schemeClr val="dk1"/>
          </a:effectRef>
          <a:fontRef idx="minor">
            <a:schemeClr val="tx1"/>
          </a:fontRef>
        </xdr:style>
      </xdr:cxnSp>
      <xdr:cxnSp macro="">
        <xdr:nvCxnSpPr>
          <xdr:cNvPr id="38" name="Conector reto 79">
            <a:extLst>
              <a:ext uri="{FF2B5EF4-FFF2-40B4-BE49-F238E27FC236}">
                <a16:creationId xmlns:a16="http://schemas.microsoft.com/office/drawing/2014/main" id="{386002BB-B24E-A4D9-C3FF-EA8F7F4C6119}"/>
              </a:ext>
            </a:extLst>
          </xdr:cNvPr>
          <xdr:cNvCxnSpPr/>
        </xdr:nvCxnSpPr>
        <xdr:spPr>
          <a:xfrm>
            <a:off x="217714" y="6101953"/>
            <a:ext cx="2286000" cy="0"/>
          </a:xfrm>
          <a:prstGeom prst="line">
            <a:avLst/>
          </a:prstGeom>
          <a:ln w="19050">
            <a:solidFill>
              <a:srgbClr val="3AD674"/>
            </a:solidFill>
          </a:ln>
          <a:effectLst/>
        </xdr:spPr>
        <xdr:style>
          <a:lnRef idx="3">
            <a:schemeClr val="dk1"/>
          </a:lnRef>
          <a:fillRef idx="0">
            <a:schemeClr val="dk1"/>
          </a:fillRef>
          <a:effectRef idx="2">
            <a:schemeClr val="dk1"/>
          </a:effectRef>
          <a:fontRef idx="minor">
            <a:schemeClr val="tx1"/>
          </a:fontRef>
        </xdr:style>
      </xdr:cxnSp>
      <xdr:cxnSp macro="">
        <xdr:nvCxnSpPr>
          <xdr:cNvPr id="39" name="Conector reto 79">
            <a:extLst>
              <a:ext uri="{FF2B5EF4-FFF2-40B4-BE49-F238E27FC236}">
                <a16:creationId xmlns:a16="http://schemas.microsoft.com/office/drawing/2014/main" id="{225A2CDD-0FD8-FA18-659C-DDA8E1D078E2}"/>
              </a:ext>
            </a:extLst>
          </xdr:cNvPr>
          <xdr:cNvCxnSpPr/>
        </xdr:nvCxnSpPr>
        <xdr:spPr>
          <a:xfrm>
            <a:off x="217714" y="5379074"/>
            <a:ext cx="2286000" cy="0"/>
          </a:xfrm>
          <a:prstGeom prst="line">
            <a:avLst/>
          </a:prstGeom>
          <a:ln w="19050">
            <a:solidFill>
              <a:srgbClr val="3AD674"/>
            </a:solidFill>
          </a:ln>
          <a:effectLst/>
        </xdr:spPr>
        <xdr:style>
          <a:lnRef idx="3">
            <a:schemeClr val="dk1"/>
          </a:lnRef>
          <a:fillRef idx="0">
            <a:schemeClr val="dk1"/>
          </a:fillRef>
          <a:effectRef idx="2">
            <a:schemeClr val="dk1"/>
          </a:effectRef>
          <a:fontRef idx="minor">
            <a:schemeClr val="tx1"/>
          </a:fontRef>
        </xdr:style>
      </xdr:cxnSp>
      <xdr:cxnSp macro="">
        <xdr:nvCxnSpPr>
          <xdr:cNvPr id="46" name="Conector reto 79">
            <a:extLst>
              <a:ext uri="{FF2B5EF4-FFF2-40B4-BE49-F238E27FC236}">
                <a16:creationId xmlns:a16="http://schemas.microsoft.com/office/drawing/2014/main" id="{FE7EA599-8070-D21D-62CB-216323993B32}"/>
              </a:ext>
            </a:extLst>
          </xdr:cNvPr>
          <xdr:cNvCxnSpPr/>
        </xdr:nvCxnSpPr>
        <xdr:spPr>
          <a:xfrm>
            <a:off x="217714" y="4650243"/>
            <a:ext cx="2286000" cy="0"/>
          </a:xfrm>
          <a:prstGeom prst="line">
            <a:avLst/>
          </a:prstGeom>
          <a:ln w="19050">
            <a:solidFill>
              <a:srgbClr val="3AD674"/>
            </a:solidFill>
          </a:ln>
          <a:effectLst/>
        </xdr:spPr>
        <xdr:style>
          <a:lnRef idx="3">
            <a:schemeClr val="dk1"/>
          </a:lnRef>
          <a:fillRef idx="0">
            <a:schemeClr val="dk1"/>
          </a:fillRef>
          <a:effectRef idx="2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10</xdr:col>
      <xdr:colOff>0</xdr:colOff>
      <xdr:row>17</xdr:row>
      <xdr:rowOff>23814</xdr:rowOff>
    </xdr:from>
    <xdr:to>
      <xdr:col>12</xdr:col>
      <xdr:colOff>0</xdr:colOff>
      <xdr:row>26</xdr:row>
      <xdr:rowOff>5953</xdr:rowOff>
    </xdr:to>
    <xdr:grpSp>
      <xdr:nvGrpSpPr>
        <xdr:cNvPr id="52" name="Group 51">
          <a:extLst>
            <a:ext uri="{FF2B5EF4-FFF2-40B4-BE49-F238E27FC236}">
              <a16:creationId xmlns:a16="http://schemas.microsoft.com/office/drawing/2014/main" id="{EF79E386-EB4E-B550-BBDF-A7EB2A9F36E2}"/>
            </a:ext>
          </a:extLst>
        </xdr:cNvPr>
        <xdr:cNvGrpSpPr/>
      </xdr:nvGrpSpPr>
      <xdr:grpSpPr>
        <a:xfrm>
          <a:off x="8098971" y="6141585"/>
          <a:ext cx="2351315" cy="2083082"/>
          <a:chOff x="217714" y="4650243"/>
          <a:chExt cx="2286000" cy="2186496"/>
        </a:xfrm>
      </xdr:grpSpPr>
      <xdr:cxnSp macro="">
        <xdr:nvCxnSpPr>
          <xdr:cNvPr id="62" name="Conector reto 79">
            <a:extLst>
              <a:ext uri="{FF2B5EF4-FFF2-40B4-BE49-F238E27FC236}">
                <a16:creationId xmlns:a16="http://schemas.microsoft.com/office/drawing/2014/main" id="{785546A3-4E42-3B16-AF26-1049BAFD3C58}"/>
              </a:ext>
            </a:extLst>
          </xdr:cNvPr>
          <xdr:cNvCxnSpPr/>
        </xdr:nvCxnSpPr>
        <xdr:spPr>
          <a:xfrm>
            <a:off x="217714" y="6836739"/>
            <a:ext cx="2286000" cy="0"/>
          </a:xfrm>
          <a:prstGeom prst="line">
            <a:avLst/>
          </a:prstGeom>
          <a:ln w="19050">
            <a:solidFill>
              <a:srgbClr val="3AD674"/>
            </a:solidFill>
          </a:ln>
          <a:effectLst/>
        </xdr:spPr>
        <xdr:style>
          <a:lnRef idx="3">
            <a:schemeClr val="dk1"/>
          </a:lnRef>
          <a:fillRef idx="0">
            <a:schemeClr val="dk1"/>
          </a:fillRef>
          <a:effectRef idx="2">
            <a:schemeClr val="dk1"/>
          </a:effectRef>
          <a:fontRef idx="minor">
            <a:schemeClr val="tx1"/>
          </a:fontRef>
        </xdr:style>
      </xdr:cxnSp>
      <xdr:cxnSp macro="">
        <xdr:nvCxnSpPr>
          <xdr:cNvPr id="63" name="Conector reto 79">
            <a:extLst>
              <a:ext uri="{FF2B5EF4-FFF2-40B4-BE49-F238E27FC236}">
                <a16:creationId xmlns:a16="http://schemas.microsoft.com/office/drawing/2014/main" id="{64360E03-BD9A-84A0-05B8-AF66544AF837}"/>
              </a:ext>
            </a:extLst>
          </xdr:cNvPr>
          <xdr:cNvCxnSpPr/>
        </xdr:nvCxnSpPr>
        <xdr:spPr>
          <a:xfrm>
            <a:off x="217714" y="6101953"/>
            <a:ext cx="2286000" cy="0"/>
          </a:xfrm>
          <a:prstGeom prst="line">
            <a:avLst/>
          </a:prstGeom>
          <a:ln w="19050">
            <a:solidFill>
              <a:srgbClr val="3AD674"/>
            </a:solidFill>
          </a:ln>
          <a:effectLst/>
        </xdr:spPr>
        <xdr:style>
          <a:lnRef idx="3">
            <a:schemeClr val="dk1"/>
          </a:lnRef>
          <a:fillRef idx="0">
            <a:schemeClr val="dk1"/>
          </a:fillRef>
          <a:effectRef idx="2">
            <a:schemeClr val="dk1"/>
          </a:effectRef>
          <a:fontRef idx="minor">
            <a:schemeClr val="tx1"/>
          </a:fontRef>
        </xdr:style>
      </xdr:cxnSp>
      <xdr:cxnSp macro="">
        <xdr:nvCxnSpPr>
          <xdr:cNvPr id="66" name="Conector reto 79">
            <a:extLst>
              <a:ext uri="{FF2B5EF4-FFF2-40B4-BE49-F238E27FC236}">
                <a16:creationId xmlns:a16="http://schemas.microsoft.com/office/drawing/2014/main" id="{7C2D1A84-E5AA-B83D-2568-DDDA0CC5C7CB}"/>
              </a:ext>
            </a:extLst>
          </xdr:cNvPr>
          <xdr:cNvCxnSpPr/>
        </xdr:nvCxnSpPr>
        <xdr:spPr>
          <a:xfrm>
            <a:off x="217714" y="5379074"/>
            <a:ext cx="2286000" cy="0"/>
          </a:xfrm>
          <a:prstGeom prst="line">
            <a:avLst/>
          </a:prstGeom>
          <a:ln w="19050">
            <a:solidFill>
              <a:srgbClr val="3AD674"/>
            </a:solidFill>
          </a:ln>
          <a:effectLst/>
        </xdr:spPr>
        <xdr:style>
          <a:lnRef idx="3">
            <a:schemeClr val="dk1"/>
          </a:lnRef>
          <a:fillRef idx="0">
            <a:schemeClr val="dk1"/>
          </a:fillRef>
          <a:effectRef idx="2">
            <a:schemeClr val="dk1"/>
          </a:effectRef>
          <a:fontRef idx="minor">
            <a:schemeClr val="tx1"/>
          </a:fontRef>
        </xdr:style>
      </xdr:cxnSp>
      <xdr:cxnSp macro="">
        <xdr:nvCxnSpPr>
          <xdr:cNvPr id="67" name="Conector reto 79">
            <a:extLst>
              <a:ext uri="{FF2B5EF4-FFF2-40B4-BE49-F238E27FC236}">
                <a16:creationId xmlns:a16="http://schemas.microsoft.com/office/drawing/2014/main" id="{B4D3CA3A-BE77-1BE3-2A5C-CEBCC8FE1C64}"/>
              </a:ext>
            </a:extLst>
          </xdr:cNvPr>
          <xdr:cNvCxnSpPr/>
        </xdr:nvCxnSpPr>
        <xdr:spPr>
          <a:xfrm>
            <a:off x="217714" y="4650243"/>
            <a:ext cx="2286000" cy="0"/>
          </a:xfrm>
          <a:prstGeom prst="line">
            <a:avLst/>
          </a:prstGeom>
          <a:ln w="19050">
            <a:solidFill>
              <a:srgbClr val="3AD674"/>
            </a:solidFill>
          </a:ln>
          <a:effectLst/>
        </xdr:spPr>
        <xdr:style>
          <a:lnRef idx="3">
            <a:schemeClr val="dk1"/>
          </a:lnRef>
          <a:fillRef idx="0">
            <a:schemeClr val="dk1"/>
          </a:fillRef>
          <a:effectRef idx="2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13</xdr:col>
      <xdr:colOff>0</xdr:colOff>
      <xdr:row>17</xdr:row>
      <xdr:rowOff>23814</xdr:rowOff>
    </xdr:from>
    <xdr:to>
      <xdr:col>15</xdr:col>
      <xdr:colOff>1088572</xdr:colOff>
      <xdr:row>26</xdr:row>
      <xdr:rowOff>5953</xdr:rowOff>
    </xdr:to>
    <xdr:grpSp>
      <xdr:nvGrpSpPr>
        <xdr:cNvPr id="70" name="Group 69">
          <a:extLst>
            <a:ext uri="{FF2B5EF4-FFF2-40B4-BE49-F238E27FC236}">
              <a16:creationId xmlns:a16="http://schemas.microsoft.com/office/drawing/2014/main" id="{18F87492-2B77-3173-441C-828109917F1F}"/>
            </a:ext>
          </a:extLst>
        </xdr:cNvPr>
        <xdr:cNvGrpSpPr/>
      </xdr:nvGrpSpPr>
      <xdr:grpSpPr>
        <a:xfrm>
          <a:off x="10668000" y="6141585"/>
          <a:ext cx="2307772" cy="2083082"/>
          <a:chOff x="217714" y="4650243"/>
          <a:chExt cx="2286000" cy="2186496"/>
        </a:xfrm>
      </xdr:grpSpPr>
      <xdr:cxnSp macro="">
        <xdr:nvCxnSpPr>
          <xdr:cNvPr id="71" name="Conector reto 79">
            <a:extLst>
              <a:ext uri="{FF2B5EF4-FFF2-40B4-BE49-F238E27FC236}">
                <a16:creationId xmlns:a16="http://schemas.microsoft.com/office/drawing/2014/main" id="{B5320C14-455B-5C65-CB2B-2E42162AB4F7}"/>
              </a:ext>
            </a:extLst>
          </xdr:cNvPr>
          <xdr:cNvCxnSpPr/>
        </xdr:nvCxnSpPr>
        <xdr:spPr>
          <a:xfrm>
            <a:off x="217714" y="6836739"/>
            <a:ext cx="2286000" cy="0"/>
          </a:xfrm>
          <a:prstGeom prst="line">
            <a:avLst/>
          </a:prstGeom>
          <a:ln w="19050">
            <a:solidFill>
              <a:srgbClr val="3AD674"/>
            </a:solidFill>
          </a:ln>
          <a:effectLst/>
        </xdr:spPr>
        <xdr:style>
          <a:lnRef idx="3">
            <a:schemeClr val="dk1"/>
          </a:lnRef>
          <a:fillRef idx="0">
            <a:schemeClr val="dk1"/>
          </a:fillRef>
          <a:effectRef idx="2">
            <a:schemeClr val="dk1"/>
          </a:effectRef>
          <a:fontRef idx="minor">
            <a:schemeClr val="tx1"/>
          </a:fontRef>
        </xdr:style>
      </xdr:cxnSp>
      <xdr:cxnSp macro="">
        <xdr:nvCxnSpPr>
          <xdr:cNvPr id="72" name="Conector reto 79">
            <a:extLst>
              <a:ext uri="{FF2B5EF4-FFF2-40B4-BE49-F238E27FC236}">
                <a16:creationId xmlns:a16="http://schemas.microsoft.com/office/drawing/2014/main" id="{A62754CB-1290-9AA2-4407-FB2A0031CE4E}"/>
              </a:ext>
            </a:extLst>
          </xdr:cNvPr>
          <xdr:cNvCxnSpPr/>
        </xdr:nvCxnSpPr>
        <xdr:spPr>
          <a:xfrm>
            <a:off x="217714" y="6101953"/>
            <a:ext cx="2286000" cy="0"/>
          </a:xfrm>
          <a:prstGeom prst="line">
            <a:avLst/>
          </a:prstGeom>
          <a:ln w="19050">
            <a:solidFill>
              <a:srgbClr val="3AD674"/>
            </a:solidFill>
          </a:ln>
          <a:effectLst/>
        </xdr:spPr>
        <xdr:style>
          <a:lnRef idx="3">
            <a:schemeClr val="dk1"/>
          </a:lnRef>
          <a:fillRef idx="0">
            <a:schemeClr val="dk1"/>
          </a:fillRef>
          <a:effectRef idx="2">
            <a:schemeClr val="dk1"/>
          </a:effectRef>
          <a:fontRef idx="minor">
            <a:schemeClr val="tx1"/>
          </a:fontRef>
        </xdr:style>
      </xdr:cxnSp>
      <xdr:cxnSp macro="">
        <xdr:nvCxnSpPr>
          <xdr:cNvPr id="73" name="Conector reto 79">
            <a:extLst>
              <a:ext uri="{FF2B5EF4-FFF2-40B4-BE49-F238E27FC236}">
                <a16:creationId xmlns:a16="http://schemas.microsoft.com/office/drawing/2014/main" id="{468B0ECE-9284-81D2-A1F3-FF5FC368DED2}"/>
              </a:ext>
            </a:extLst>
          </xdr:cNvPr>
          <xdr:cNvCxnSpPr/>
        </xdr:nvCxnSpPr>
        <xdr:spPr>
          <a:xfrm>
            <a:off x="217714" y="5379074"/>
            <a:ext cx="2286000" cy="0"/>
          </a:xfrm>
          <a:prstGeom prst="line">
            <a:avLst/>
          </a:prstGeom>
          <a:ln w="19050">
            <a:solidFill>
              <a:srgbClr val="3AD674"/>
            </a:solidFill>
          </a:ln>
          <a:effectLst/>
        </xdr:spPr>
        <xdr:style>
          <a:lnRef idx="3">
            <a:schemeClr val="dk1"/>
          </a:lnRef>
          <a:fillRef idx="0">
            <a:schemeClr val="dk1"/>
          </a:fillRef>
          <a:effectRef idx="2">
            <a:schemeClr val="dk1"/>
          </a:effectRef>
          <a:fontRef idx="minor">
            <a:schemeClr val="tx1"/>
          </a:fontRef>
        </xdr:style>
      </xdr:cxnSp>
      <xdr:cxnSp macro="">
        <xdr:nvCxnSpPr>
          <xdr:cNvPr id="74" name="Conector reto 79">
            <a:extLst>
              <a:ext uri="{FF2B5EF4-FFF2-40B4-BE49-F238E27FC236}">
                <a16:creationId xmlns:a16="http://schemas.microsoft.com/office/drawing/2014/main" id="{9AFA0525-212D-18B8-DCAF-848C5FDA14EB}"/>
              </a:ext>
            </a:extLst>
          </xdr:cNvPr>
          <xdr:cNvCxnSpPr/>
        </xdr:nvCxnSpPr>
        <xdr:spPr>
          <a:xfrm>
            <a:off x="217714" y="4650243"/>
            <a:ext cx="2286000" cy="0"/>
          </a:xfrm>
          <a:prstGeom prst="line">
            <a:avLst/>
          </a:prstGeom>
          <a:ln w="19050">
            <a:solidFill>
              <a:srgbClr val="3AD674"/>
            </a:solidFill>
          </a:ln>
          <a:effectLst/>
        </xdr:spPr>
        <xdr:style>
          <a:lnRef idx="3">
            <a:schemeClr val="dk1"/>
          </a:lnRef>
          <a:fillRef idx="0">
            <a:schemeClr val="dk1"/>
          </a:fillRef>
          <a:effectRef idx="2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17</xdr:col>
      <xdr:colOff>0</xdr:colOff>
      <xdr:row>17</xdr:row>
      <xdr:rowOff>23814</xdr:rowOff>
    </xdr:from>
    <xdr:to>
      <xdr:col>19</xdr:col>
      <xdr:colOff>0</xdr:colOff>
      <xdr:row>26</xdr:row>
      <xdr:rowOff>5953</xdr:rowOff>
    </xdr:to>
    <xdr:grpSp>
      <xdr:nvGrpSpPr>
        <xdr:cNvPr id="78" name="Group 77">
          <a:extLst>
            <a:ext uri="{FF2B5EF4-FFF2-40B4-BE49-F238E27FC236}">
              <a16:creationId xmlns:a16="http://schemas.microsoft.com/office/drawing/2014/main" id="{35A69172-58B6-081F-6001-5BE87BC89DBC}"/>
            </a:ext>
          </a:extLst>
        </xdr:cNvPr>
        <xdr:cNvGrpSpPr/>
      </xdr:nvGrpSpPr>
      <xdr:grpSpPr>
        <a:xfrm>
          <a:off x="13280571" y="6141585"/>
          <a:ext cx="2351315" cy="2083082"/>
          <a:chOff x="217714" y="4650243"/>
          <a:chExt cx="2286000" cy="2186496"/>
        </a:xfrm>
      </xdr:grpSpPr>
      <xdr:cxnSp macro="">
        <xdr:nvCxnSpPr>
          <xdr:cNvPr id="79" name="Conector reto 79">
            <a:extLst>
              <a:ext uri="{FF2B5EF4-FFF2-40B4-BE49-F238E27FC236}">
                <a16:creationId xmlns:a16="http://schemas.microsoft.com/office/drawing/2014/main" id="{6905CA80-B8BD-39C8-4543-3E3D397C46D2}"/>
              </a:ext>
            </a:extLst>
          </xdr:cNvPr>
          <xdr:cNvCxnSpPr/>
        </xdr:nvCxnSpPr>
        <xdr:spPr>
          <a:xfrm>
            <a:off x="217714" y="6836739"/>
            <a:ext cx="2286000" cy="0"/>
          </a:xfrm>
          <a:prstGeom prst="line">
            <a:avLst/>
          </a:prstGeom>
          <a:ln w="19050">
            <a:solidFill>
              <a:srgbClr val="3AD674"/>
            </a:solidFill>
          </a:ln>
          <a:effectLst/>
        </xdr:spPr>
        <xdr:style>
          <a:lnRef idx="3">
            <a:schemeClr val="dk1"/>
          </a:lnRef>
          <a:fillRef idx="0">
            <a:schemeClr val="dk1"/>
          </a:fillRef>
          <a:effectRef idx="2">
            <a:schemeClr val="dk1"/>
          </a:effectRef>
          <a:fontRef idx="minor">
            <a:schemeClr val="tx1"/>
          </a:fontRef>
        </xdr:style>
      </xdr:cxnSp>
      <xdr:cxnSp macro="">
        <xdr:nvCxnSpPr>
          <xdr:cNvPr id="90" name="Conector reto 79">
            <a:extLst>
              <a:ext uri="{FF2B5EF4-FFF2-40B4-BE49-F238E27FC236}">
                <a16:creationId xmlns:a16="http://schemas.microsoft.com/office/drawing/2014/main" id="{F8E8DE67-BE25-6E13-6DBD-5911046700BC}"/>
              </a:ext>
            </a:extLst>
          </xdr:cNvPr>
          <xdr:cNvCxnSpPr/>
        </xdr:nvCxnSpPr>
        <xdr:spPr>
          <a:xfrm>
            <a:off x="217714" y="6101953"/>
            <a:ext cx="2286000" cy="0"/>
          </a:xfrm>
          <a:prstGeom prst="line">
            <a:avLst/>
          </a:prstGeom>
          <a:ln w="19050">
            <a:solidFill>
              <a:srgbClr val="3AD674"/>
            </a:solidFill>
          </a:ln>
          <a:effectLst/>
        </xdr:spPr>
        <xdr:style>
          <a:lnRef idx="3">
            <a:schemeClr val="dk1"/>
          </a:lnRef>
          <a:fillRef idx="0">
            <a:schemeClr val="dk1"/>
          </a:fillRef>
          <a:effectRef idx="2">
            <a:schemeClr val="dk1"/>
          </a:effectRef>
          <a:fontRef idx="minor">
            <a:schemeClr val="tx1"/>
          </a:fontRef>
        </xdr:style>
      </xdr:cxnSp>
      <xdr:cxnSp macro="">
        <xdr:nvCxnSpPr>
          <xdr:cNvPr id="91" name="Conector reto 79">
            <a:extLst>
              <a:ext uri="{FF2B5EF4-FFF2-40B4-BE49-F238E27FC236}">
                <a16:creationId xmlns:a16="http://schemas.microsoft.com/office/drawing/2014/main" id="{A51459EF-3895-A55F-4945-2016B6FCCFFC}"/>
              </a:ext>
            </a:extLst>
          </xdr:cNvPr>
          <xdr:cNvCxnSpPr/>
        </xdr:nvCxnSpPr>
        <xdr:spPr>
          <a:xfrm>
            <a:off x="217714" y="5379074"/>
            <a:ext cx="2286000" cy="0"/>
          </a:xfrm>
          <a:prstGeom prst="line">
            <a:avLst/>
          </a:prstGeom>
          <a:ln w="19050">
            <a:solidFill>
              <a:srgbClr val="3AD674"/>
            </a:solidFill>
          </a:ln>
          <a:effectLst/>
        </xdr:spPr>
        <xdr:style>
          <a:lnRef idx="3">
            <a:schemeClr val="dk1"/>
          </a:lnRef>
          <a:fillRef idx="0">
            <a:schemeClr val="dk1"/>
          </a:fillRef>
          <a:effectRef idx="2">
            <a:schemeClr val="dk1"/>
          </a:effectRef>
          <a:fontRef idx="minor">
            <a:schemeClr val="tx1"/>
          </a:fontRef>
        </xdr:style>
      </xdr:cxnSp>
      <xdr:cxnSp macro="">
        <xdr:nvCxnSpPr>
          <xdr:cNvPr id="92" name="Conector reto 79">
            <a:extLst>
              <a:ext uri="{FF2B5EF4-FFF2-40B4-BE49-F238E27FC236}">
                <a16:creationId xmlns:a16="http://schemas.microsoft.com/office/drawing/2014/main" id="{0E7D5A46-6BFB-9020-70C4-D3B708FA23C4}"/>
              </a:ext>
            </a:extLst>
          </xdr:cNvPr>
          <xdr:cNvCxnSpPr/>
        </xdr:nvCxnSpPr>
        <xdr:spPr>
          <a:xfrm>
            <a:off x="217714" y="4650243"/>
            <a:ext cx="2286000" cy="0"/>
          </a:xfrm>
          <a:prstGeom prst="line">
            <a:avLst/>
          </a:prstGeom>
          <a:ln w="19050">
            <a:solidFill>
              <a:srgbClr val="3AD674"/>
            </a:solidFill>
          </a:ln>
          <a:effectLst/>
        </xdr:spPr>
        <xdr:style>
          <a:lnRef idx="3">
            <a:schemeClr val="dk1"/>
          </a:lnRef>
          <a:fillRef idx="0">
            <a:schemeClr val="dk1"/>
          </a:fillRef>
          <a:effectRef idx="2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1</xdr:col>
      <xdr:colOff>0</xdr:colOff>
      <xdr:row>32</xdr:row>
      <xdr:rowOff>0</xdr:rowOff>
    </xdr:from>
    <xdr:to>
      <xdr:col>3</xdr:col>
      <xdr:colOff>0</xdr:colOff>
      <xdr:row>32</xdr:row>
      <xdr:rowOff>0</xdr:rowOff>
    </xdr:to>
    <xdr:cxnSp macro="">
      <xdr:nvCxnSpPr>
        <xdr:cNvPr id="93" name="Conector reto 79">
          <a:extLst>
            <a:ext uri="{FF2B5EF4-FFF2-40B4-BE49-F238E27FC236}">
              <a16:creationId xmlns:a16="http://schemas.microsoft.com/office/drawing/2014/main" id="{C4ED5427-953F-4947-96F1-92E94999492E}"/>
            </a:ext>
          </a:extLst>
        </xdr:cNvPr>
        <xdr:cNvCxnSpPr/>
      </xdr:nvCxnSpPr>
      <xdr:spPr>
        <a:xfrm>
          <a:off x="381000" y="9642231"/>
          <a:ext cx="2286000" cy="0"/>
        </a:xfrm>
        <a:prstGeom prst="line">
          <a:avLst/>
        </a:prstGeom>
        <a:ln w="15875">
          <a:solidFill>
            <a:srgbClr val="FF4F4F"/>
          </a:solidFill>
          <a:prstDash val="sysDot"/>
        </a:ln>
        <a:effectLst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31</xdr:row>
      <xdr:rowOff>256189</xdr:rowOff>
    </xdr:from>
    <xdr:to>
      <xdr:col>6</xdr:col>
      <xdr:colOff>0</xdr:colOff>
      <xdr:row>31</xdr:row>
      <xdr:rowOff>256189</xdr:rowOff>
    </xdr:to>
    <xdr:cxnSp macro="">
      <xdr:nvCxnSpPr>
        <xdr:cNvPr id="95" name="Conector reto 79">
          <a:extLst>
            <a:ext uri="{FF2B5EF4-FFF2-40B4-BE49-F238E27FC236}">
              <a16:creationId xmlns:a16="http://schemas.microsoft.com/office/drawing/2014/main" id="{61CD7251-1028-AFDA-23F8-C628D8664645}"/>
            </a:ext>
          </a:extLst>
        </xdr:cNvPr>
        <xdr:cNvCxnSpPr/>
      </xdr:nvCxnSpPr>
      <xdr:spPr>
        <a:xfrm>
          <a:off x="2712983" y="9452741"/>
          <a:ext cx="2286000" cy="0"/>
        </a:xfrm>
        <a:prstGeom prst="line">
          <a:avLst/>
        </a:prstGeom>
        <a:ln w="15875">
          <a:solidFill>
            <a:srgbClr val="FF4F4F"/>
          </a:solidFill>
          <a:prstDash val="sysDot"/>
        </a:ln>
        <a:effectLst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31</xdr:row>
      <xdr:rowOff>256189</xdr:rowOff>
    </xdr:from>
    <xdr:to>
      <xdr:col>9</xdr:col>
      <xdr:colOff>0</xdr:colOff>
      <xdr:row>31</xdr:row>
      <xdr:rowOff>256189</xdr:rowOff>
    </xdr:to>
    <xdr:cxnSp macro="">
      <xdr:nvCxnSpPr>
        <xdr:cNvPr id="96" name="Conector reto 79">
          <a:extLst>
            <a:ext uri="{FF2B5EF4-FFF2-40B4-BE49-F238E27FC236}">
              <a16:creationId xmlns:a16="http://schemas.microsoft.com/office/drawing/2014/main" id="{454DCB4B-B73A-448D-0BE5-851CF325F769}"/>
            </a:ext>
          </a:extLst>
        </xdr:cNvPr>
        <xdr:cNvCxnSpPr/>
      </xdr:nvCxnSpPr>
      <xdr:spPr>
        <a:xfrm>
          <a:off x="5209190" y="9452741"/>
          <a:ext cx="2286000" cy="0"/>
        </a:xfrm>
        <a:prstGeom prst="line">
          <a:avLst/>
        </a:prstGeom>
        <a:ln w="15875">
          <a:solidFill>
            <a:srgbClr val="FF4F4F"/>
          </a:solidFill>
          <a:prstDash val="sysDot"/>
        </a:ln>
        <a:effectLst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31</xdr:row>
      <xdr:rowOff>256189</xdr:rowOff>
    </xdr:from>
    <xdr:to>
      <xdr:col>12</xdr:col>
      <xdr:colOff>0</xdr:colOff>
      <xdr:row>31</xdr:row>
      <xdr:rowOff>256189</xdr:rowOff>
    </xdr:to>
    <xdr:cxnSp macro="">
      <xdr:nvCxnSpPr>
        <xdr:cNvPr id="97" name="Conector reto 79">
          <a:extLst>
            <a:ext uri="{FF2B5EF4-FFF2-40B4-BE49-F238E27FC236}">
              <a16:creationId xmlns:a16="http://schemas.microsoft.com/office/drawing/2014/main" id="{36E249F4-452F-FFB1-6B10-008108EF2003}"/>
            </a:ext>
          </a:extLst>
        </xdr:cNvPr>
        <xdr:cNvCxnSpPr/>
      </xdr:nvCxnSpPr>
      <xdr:spPr>
        <a:xfrm>
          <a:off x="7705397" y="9452741"/>
          <a:ext cx="2286000" cy="0"/>
        </a:xfrm>
        <a:prstGeom prst="line">
          <a:avLst/>
        </a:prstGeom>
        <a:ln w="15875">
          <a:solidFill>
            <a:srgbClr val="FF4F4F"/>
          </a:solidFill>
          <a:prstDash val="sysDot"/>
        </a:ln>
        <a:effectLst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210206</xdr:colOff>
      <xdr:row>31</xdr:row>
      <xdr:rowOff>256189</xdr:rowOff>
    </xdr:from>
    <xdr:to>
      <xdr:col>15</xdr:col>
      <xdr:colOff>1097017</xdr:colOff>
      <xdr:row>31</xdr:row>
      <xdr:rowOff>256189</xdr:rowOff>
    </xdr:to>
    <xdr:cxnSp macro="">
      <xdr:nvCxnSpPr>
        <xdr:cNvPr id="98" name="Conector reto 79">
          <a:extLst>
            <a:ext uri="{FF2B5EF4-FFF2-40B4-BE49-F238E27FC236}">
              <a16:creationId xmlns:a16="http://schemas.microsoft.com/office/drawing/2014/main" id="{C39B115A-FEDB-0211-3E11-AE867601A18A}"/>
            </a:ext>
          </a:extLst>
        </xdr:cNvPr>
        <xdr:cNvCxnSpPr/>
      </xdr:nvCxnSpPr>
      <xdr:spPr>
        <a:xfrm>
          <a:off x="10201603" y="9452741"/>
          <a:ext cx="2286000" cy="0"/>
        </a:xfrm>
        <a:prstGeom prst="line">
          <a:avLst/>
        </a:prstGeom>
        <a:ln w="15875">
          <a:solidFill>
            <a:srgbClr val="FF4F4F"/>
          </a:solidFill>
          <a:prstDash val="sysDot"/>
        </a:ln>
        <a:effectLst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37</xdr:row>
      <xdr:rowOff>0</xdr:rowOff>
    </xdr:from>
    <xdr:to>
      <xdr:col>9</xdr:col>
      <xdr:colOff>0</xdr:colOff>
      <xdr:row>40</xdr:row>
      <xdr:rowOff>0</xdr:rowOff>
    </xdr:to>
    <xdr:sp macro="" textlink="">
      <xdr:nvSpPr>
        <xdr:cNvPr id="103" name="Rectangle: Rounded Corners 102">
          <a:extLst>
            <a:ext uri="{FF2B5EF4-FFF2-40B4-BE49-F238E27FC236}">
              <a16:creationId xmlns:a16="http://schemas.microsoft.com/office/drawing/2014/main" id="{4CFC967A-A74B-40BA-BA99-BA82A5432801}"/>
            </a:ext>
          </a:extLst>
        </xdr:cNvPr>
        <xdr:cNvSpPr/>
      </xdr:nvSpPr>
      <xdr:spPr>
        <a:xfrm>
          <a:off x="5221941" y="10600765"/>
          <a:ext cx="2286000" cy="571500"/>
        </a:xfrm>
        <a:prstGeom prst="roundRect">
          <a:avLst/>
        </a:prstGeom>
        <a:noFill/>
        <a:ln w="19050">
          <a:solidFill>
            <a:srgbClr val="FF4F4F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ctr"/>
        <a:lstStyle/>
        <a:p>
          <a:pPr algn="ctr">
            <a:lnSpc>
              <a:spcPct val="80000"/>
            </a:lnSpc>
          </a:pPr>
          <a:endParaRPr lang="pt-BR" sz="1600" b="1">
            <a:solidFill>
              <a:srgbClr val="DFC7B4"/>
            </a:solidFill>
          </a:endParaRPr>
        </a:p>
      </xdr:txBody>
    </xdr:sp>
    <xdr:clientData/>
  </xdr:twoCellAnchor>
  <xdr:twoCellAnchor editAs="oneCell">
    <xdr:from>
      <xdr:col>0</xdr:col>
      <xdr:colOff>1</xdr:colOff>
      <xdr:row>0</xdr:row>
      <xdr:rowOff>0</xdr:rowOff>
    </xdr:from>
    <xdr:to>
      <xdr:col>22</xdr:col>
      <xdr:colOff>378280</xdr:colOff>
      <xdr:row>2</xdr:row>
      <xdr:rowOff>0</xdr:rowOff>
    </xdr:to>
    <xdr:pic>
      <xdr:nvPicPr>
        <xdr:cNvPr id="106" name="Picture 105">
          <a:extLst>
            <a:ext uri="{FF2B5EF4-FFF2-40B4-BE49-F238E27FC236}">
              <a16:creationId xmlns:a16="http://schemas.microsoft.com/office/drawing/2014/main" id="{9F6BB82F-E190-B716-25BD-2775FFDC0A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" y="0"/>
          <a:ext cx="18040350" cy="2286000"/>
        </a:xfrm>
        <a:prstGeom prst="rect">
          <a:avLst/>
        </a:prstGeom>
      </xdr:spPr>
    </xdr:pic>
    <xdr:clientData/>
  </xdr:twoCellAnchor>
  <xdr:twoCellAnchor editAs="oneCell">
    <xdr:from>
      <xdr:col>20</xdr:col>
      <xdr:colOff>330918</xdr:colOff>
      <xdr:row>0</xdr:row>
      <xdr:rowOff>381000</xdr:rowOff>
    </xdr:from>
    <xdr:to>
      <xdr:col>21</xdr:col>
      <xdr:colOff>711570</xdr:colOff>
      <xdr:row>2</xdr:row>
      <xdr:rowOff>7086</xdr:rowOff>
    </xdr:to>
    <xdr:pic>
      <xdr:nvPicPr>
        <xdr:cNvPr id="111" name="Picture 110">
          <a:extLst>
            <a:ext uri="{FF2B5EF4-FFF2-40B4-BE49-F238E27FC236}">
              <a16:creationId xmlns:a16="http://schemas.microsoft.com/office/drawing/2014/main" id="{B7E64A14-DF19-4CE5-A650-DB3D83AFCB09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06989" y="381000"/>
          <a:ext cx="1523652" cy="1912086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</xdr:row>
      <xdr:rowOff>8126</xdr:rowOff>
    </xdr:from>
    <xdr:to>
      <xdr:col>23</xdr:col>
      <xdr:colOff>0</xdr:colOff>
      <xdr:row>6</xdr:row>
      <xdr:rowOff>0</xdr:rowOff>
    </xdr:to>
    <xdr:grpSp>
      <xdr:nvGrpSpPr>
        <xdr:cNvPr id="10" name="Group 9">
          <a:extLst>
            <a:ext uri="{FF2B5EF4-FFF2-40B4-BE49-F238E27FC236}">
              <a16:creationId xmlns:a16="http://schemas.microsoft.com/office/drawing/2014/main" id="{DCF95E1D-D431-6074-A94E-AA8E9B20045E}"/>
            </a:ext>
          </a:extLst>
        </xdr:cNvPr>
        <xdr:cNvGrpSpPr/>
      </xdr:nvGrpSpPr>
      <xdr:grpSpPr>
        <a:xfrm>
          <a:off x="0" y="2294126"/>
          <a:ext cx="18592800" cy="1330817"/>
          <a:chOff x="0" y="2294126"/>
          <a:chExt cx="17705294" cy="1336580"/>
        </a:xfrm>
      </xdr:grpSpPr>
      <xdr:cxnSp macro="">
        <xdr:nvCxnSpPr>
          <xdr:cNvPr id="110" name="Conector reto 79">
            <a:extLst>
              <a:ext uri="{FF2B5EF4-FFF2-40B4-BE49-F238E27FC236}">
                <a16:creationId xmlns:a16="http://schemas.microsoft.com/office/drawing/2014/main" id="{34242F42-FF6C-20EB-7288-4950F080C291}"/>
              </a:ext>
            </a:extLst>
          </xdr:cNvPr>
          <xdr:cNvCxnSpPr/>
        </xdr:nvCxnSpPr>
        <xdr:spPr>
          <a:xfrm>
            <a:off x="0" y="3630706"/>
            <a:ext cx="17705294" cy="0"/>
          </a:xfrm>
          <a:prstGeom prst="line">
            <a:avLst/>
          </a:prstGeom>
          <a:ln w="25400">
            <a:solidFill>
              <a:srgbClr val="F4F1F0"/>
            </a:solidFill>
          </a:ln>
          <a:effectLst/>
        </xdr:spPr>
        <xdr:style>
          <a:lnRef idx="3">
            <a:schemeClr val="dk1"/>
          </a:lnRef>
          <a:fillRef idx="0">
            <a:schemeClr val="dk1"/>
          </a:fillRef>
          <a:effectRef idx="2">
            <a:schemeClr val="dk1"/>
          </a:effectRef>
          <a:fontRef idx="minor">
            <a:schemeClr val="tx1"/>
          </a:fontRef>
        </xdr:style>
      </xdr:cxnSp>
      <xdr:cxnSp macro="">
        <xdr:nvCxnSpPr>
          <xdr:cNvPr id="108" name="Conector reto 79">
            <a:extLst>
              <a:ext uri="{FF2B5EF4-FFF2-40B4-BE49-F238E27FC236}">
                <a16:creationId xmlns:a16="http://schemas.microsoft.com/office/drawing/2014/main" id="{3FB4B35F-A8D8-4869-A509-FF6E13BC0F24}"/>
              </a:ext>
            </a:extLst>
          </xdr:cNvPr>
          <xdr:cNvCxnSpPr/>
        </xdr:nvCxnSpPr>
        <xdr:spPr>
          <a:xfrm>
            <a:off x="0" y="2294126"/>
            <a:ext cx="17705294" cy="0"/>
          </a:xfrm>
          <a:prstGeom prst="line">
            <a:avLst/>
          </a:prstGeom>
          <a:ln w="25400">
            <a:solidFill>
              <a:srgbClr val="F4F1F0"/>
            </a:solidFill>
          </a:ln>
          <a:effectLst/>
        </xdr:spPr>
        <xdr:style>
          <a:lnRef idx="3">
            <a:schemeClr val="dk1"/>
          </a:lnRef>
          <a:fillRef idx="0">
            <a:schemeClr val="dk1"/>
          </a:fillRef>
          <a:effectRef idx="2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21</xdr:col>
      <xdr:colOff>321927</xdr:colOff>
      <xdr:row>0</xdr:row>
      <xdr:rowOff>846044</xdr:rowOff>
    </xdr:from>
    <xdr:to>
      <xdr:col>22</xdr:col>
      <xdr:colOff>49065</xdr:colOff>
      <xdr:row>1</xdr:row>
      <xdr:rowOff>257735</xdr:rowOff>
    </xdr:to>
    <xdr:sp macro="" textlink="">
      <xdr:nvSpPr>
        <xdr:cNvPr id="112" name="Rectangle: Rounded Corners 111">
          <a:extLst>
            <a:ext uri="{FF2B5EF4-FFF2-40B4-BE49-F238E27FC236}">
              <a16:creationId xmlns:a16="http://schemas.microsoft.com/office/drawing/2014/main" id="{E6A3835A-2533-C194-499B-3530299A0FA7}"/>
            </a:ext>
          </a:extLst>
        </xdr:cNvPr>
        <xdr:cNvSpPr/>
      </xdr:nvSpPr>
      <xdr:spPr>
        <a:xfrm>
          <a:off x="16840998" y="846044"/>
          <a:ext cx="870138" cy="554691"/>
        </a:xfrm>
        <a:prstGeom prst="roundRect">
          <a:avLst/>
        </a:prstGeom>
        <a:noFill/>
        <a:ln w="19050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tIns="0" bIns="0" rtlCol="0" anchor="ctr"/>
        <a:lstStyle/>
        <a:p>
          <a:pPr algn="ctr">
            <a:lnSpc>
              <a:spcPct val="85000"/>
            </a:lnSpc>
          </a:pPr>
          <a:r>
            <a:rPr lang="pt-BR" sz="1200" b="1">
              <a:solidFill>
                <a:srgbClr val="3AD674"/>
              </a:solidFill>
            </a:rPr>
            <a:t>SEU </a:t>
          </a:r>
          <a:br>
            <a:rPr lang="pt-BR" sz="1200" b="1">
              <a:solidFill>
                <a:srgbClr val="3AD674"/>
              </a:solidFill>
            </a:rPr>
          </a:br>
          <a:r>
            <a:rPr lang="pt-BR" sz="1200" b="1">
              <a:solidFill>
                <a:srgbClr val="3AD674"/>
              </a:solidFill>
            </a:rPr>
            <a:t>LOGO</a:t>
          </a:r>
          <a:br>
            <a:rPr lang="pt-BR" sz="1200" b="1">
              <a:solidFill>
                <a:srgbClr val="3AD674"/>
              </a:solidFill>
            </a:rPr>
          </a:br>
          <a:r>
            <a:rPr lang="pt-BR" sz="1200" b="1">
              <a:solidFill>
                <a:srgbClr val="3AD674"/>
              </a:solidFill>
            </a:rPr>
            <a:t>AQUI</a:t>
          </a:r>
        </a:p>
      </xdr:txBody>
    </xdr:sp>
    <xdr:clientData/>
  </xdr:twoCellAnchor>
  <xdr:twoCellAnchor>
    <xdr:from>
      <xdr:col>0</xdr:col>
      <xdr:colOff>380999</xdr:colOff>
      <xdr:row>40</xdr:row>
      <xdr:rowOff>326572</xdr:rowOff>
    </xdr:from>
    <xdr:to>
      <xdr:col>21</xdr:col>
      <xdr:colOff>1142999</xdr:colOff>
      <xdr:row>41</xdr:row>
      <xdr:rowOff>853164</xdr:rowOff>
    </xdr:to>
    <xdr:sp macro="" textlink="">
      <xdr:nvSpPr>
        <xdr:cNvPr id="118" name="Rectangle: Rounded Corners 117">
          <a:extLst>
            <a:ext uri="{FF2B5EF4-FFF2-40B4-BE49-F238E27FC236}">
              <a16:creationId xmlns:a16="http://schemas.microsoft.com/office/drawing/2014/main" id="{11DDD4DD-12D1-4E0A-8BB1-DE5F06DC9FE9}"/>
            </a:ext>
          </a:extLst>
        </xdr:cNvPr>
        <xdr:cNvSpPr/>
      </xdr:nvSpPr>
      <xdr:spPr>
        <a:xfrm flipV="1">
          <a:off x="380999" y="11770179"/>
          <a:ext cx="17281071" cy="1030056"/>
        </a:xfrm>
        <a:prstGeom prst="roundRect">
          <a:avLst>
            <a:gd name="adj" fmla="val 14253"/>
          </a:avLst>
        </a:prstGeom>
        <a:noFill/>
        <a:ln w="19050">
          <a:solidFill>
            <a:srgbClr val="F4F1F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endParaRPr lang="pt-BR" sz="1800" b="1">
            <a:solidFill>
              <a:srgbClr val="0A1930"/>
            </a:solidFill>
          </a:endParaRPr>
        </a:p>
      </xdr:txBody>
    </xdr:sp>
    <xdr:clientData/>
  </xdr:twoCellAnchor>
  <xdr:twoCellAnchor>
    <xdr:from>
      <xdr:col>1</xdr:col>
      <xdr:colOff>343265</xdr:colOff>
      <xdr:row>40</xdr:row>
      <xdr:rowOff>431096</xdr:rowOff>
    </xdr:from>
    <xdr:to>
      <xdr:col>11</xdr:col>
      <xdr:colOff>1054553</xdr:colOff>
      <xdr:row>41</xdr:row>
      <xdr:rowOff>775856</xdr:rowOff>
    </xdr:to>
    <xdr:sp macro="" textlink="">
      <xdr:nvSpPr>
        <xdr:cNvPr id="119" name="Rectangle 118">
          <a:extLst>
            <a:ext uri="{FF2B5EF4-FFF2-40B4-BE49-F238E27FC236}">
              <a16:creationId xmlns:a16="http://schemas.microsoft.com/office/drawing/2014/main" id="{80A437DE-A02F-443B-81EC-EA3F8A49C890}"/>
            </a:ext>
          </a:extLst>
        </xdr:cNvPr>
        <xdr:cNvSpPr/>
      </xdr:nvSpPr>
      <xdr:spPr>
        <a:xfrm>
          <a:off x="724265" y="11874703"/>
          <a:ext cx="9324609" cy="848224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rIns="0" rtlCol="0" anchor="ctr"/>
        <a:lstStyle/>
        <a:p>
          <a:pPr algn="l">
            <a:lnSpc>
              <a:spcPct val="85000"/>
            </a:lnSpc>
          </a:pPr>
          <a:r>
            <a:rPr lang="pt-BR" sz="2800" b="1" i="0">
              <a:solidFill>
                <a:srgbClr val="3AD674"/>
              </a:solidFill>
              <a:effectLst/>
              <a:latin typeface="+mn-lt"/>
              <a:ea typeface="+mn-ea"/>
              <a:cs typeface="+mn-cs"/>
            </a:rPr>
            <a:t>Quer levar sua carreira contábil para o próximo nível? </a:t>
          </a:r>
          <a:br>
            <a:rPr lang="pt-BR" sz="2000" b="1" i="0">
              <a:solidFill>
                <a:srgbClr val="3AD674"/>
              </a:solidFill>
              <a:effectLst/>
              <a:latin typeface="+mn-lt"/>
              <a:ea typeface="+mn-ea"/>
              <a:cs typeface="+mn-cs"/>
            </a:rPr>
          </a:br>
          <a:r>
            <a:rPr lang="pt-BR" sz="2200" b="0" i="0">
              <a:solidFill>
                <a:srgbClr val="F4F1F0"/>
              </a:solidFill>
              <a:effectLst/>
              <a:latin typeface="+mn-lt"/>
              <a:ea typeface="+mn-ea"/>
              <a:cs typeface="+mn-cs"/>
            </a:rPr>
            <a:t>Entre na lista de espera para ter acesso a um </a:t>
          </a:r>
          <a:r>
            <a:rPr lang="pt-BR" sz="2200" b="1" i="0">
              <a:solidFill>
                <a:srgbClr val="F4F1F0"/>
              </a:solidFill>
              <a:effectLst/>
              <a:latin typeface="+mn-lt"/>
              <a:ea typeface="+mn-ea"/>
              <a:cs typeface="+mn-cs"/>
            </a:rPr>
            <a:t>método 100% completo</a:t>
          </a:r>
          <a:r>
            <a:rPr lang="pt-BR" sz="2200" b="0" i="0">
              <a:solidFill>
                <a:srgbClr val="F4F1F0"/>
              </a:solidFill>
              <a:effectLst/>
              <a:latin typeface="+mn-lt"/>
              <a:ea typeface="+mn-ea"/>
              <a:cs typeface="+mn-cs"/>
            </a:rPr>
            <a:t>.</a:t>
          </a:r>
          <a:endParaRPr lang="pt-BR" sz="2200" b="0">
            <a:solidFill>
              <a:srgbClr val="F4F1F0"/>
            </a:solidFill>
          </a:endParaRPr>
        </a:p>
      </xdr:txBody>
    </xdr:sp>
    <xdr:clientData/>
  </xdr:twoCellAnchor>
  <xdr:twoCellAnchor>
    <xdr:from>
      <xdr:col>18</xdr:col>
      <xdr:colOff>220253</xdr:colOff>
      <xdr:row>41</xdr:row>
      <xdr:rowOff>68037</xdr:rowOff>
    </xdr:from>
    <xdr:to>
      <xdr:col>21</xdr:col>
      <xdr:colOff>651794</xdr:colOff>
      <xdr:row>41</xdr:row>
      <xdr:rowOff>733037</xdr:rowOff>
    </xdr:to>
    <xdr:pic>
      <xdr:nvPicPr>
        <xdr:cNvPr id="120" name="Picture 119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2E0BAD6A-41E4-F124-3F75-D1F756EFAC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249217" y="12015108"/>
          <a:ext cx="2921648" cy="665000"/>
        </a:xfrm>
        <a:prstGeom prst="rect">
          <a:avLst/>
        </a:prstGeom>
      </xdr:spPr>
    </xdr:pic>
    <xdr:clientData/>
  </xdr:twoCellAnchor>
  <xdr:twoCellAnchor>
    <xdr:from>
      <xdr:col>11</xdr:col>
      <xdr:colOff>952500</xdr:colOff>
      <xdr:row>41</xdr:row>
      <xdr:rowOff>9025</xdr:rowOff>
    </xdr:from>
    <xdr:to>
      <xdr:col>14</xdr:col>
      <xdr:colOff>217714</xdr:colOff>
      <xdr:row>41</xdr:row>
      <xdr:rowOff>707651</xdr:rowOff>
    </xdr:to>
    <xdr:sp macro="" textlink="">
      <xdr:nvSpPr>
        <xdr:cNvPr id="121" name="Rectangle 120">
          <a:extLst>
            <a:ext uri="{FF2B5EF4-FFF2-40B4-BE49-F238E27FC236}">
              <a16:creationId xmlns:a16="http://schemas.microsoft.com/office/drawing/2014/main" id="{7855F69E-7ABE-43EC-ACFE-36FAFC520CC6}"/>
            </a:ext>
          </a:extLst>
        </xdr:cNvPr>
        <xdr:cNvSpPr/>
      </xdr:nvSpPr>
      <xdr:spPr>
        <a:xfrm>
          <a:off x="9946821" y="11956096"/>
          <a:ext cx="1564822" cy="698626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rIns="0" rtlCol="0" anchor="ctr"/>
        <a:lstStyle/>
        <a:p>
          <a:pPr algn="l">
            <a:lnSpc>
              <a:spcPct val="85000"/>
            </a:lnSpc>
          </a:pPr>
          <a:r>
            <a:rPr lang="pt-BR" sz="1400" b="1" i="0">
              <a:solidFill>
                <a:srgbClr val="3AD674"/>
              </a:solidFill>
              <a:effectLst/>
              <a:latin typeface="+mn-lt"/>
              <a:ea typeface="+mn-ea"/>
              <a:cs typeface="+mn-cs"/>
            </a:rPr>
            <a:t>Clique ao lado no(s)</a:t>
          </a:r>
          <a:r>
            <a:rPr lang="pt-BR" sz="1400" b="1" i="0" baseline="0">
              <a:solidFill>
                <a:srgbClr val="3AD674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pt-BR" sz="1400" b="1" i="0">
              <a:solidFill>
                <a:srgbClr val="3AD674"/>
              </a:solidFill>
              <a:effectLst/>
              <a:latin typeface="+mn-lt"/>
              <a:ea typeface="+mn-ea"/>
              <a:cs typeface="+mn-cs"/>
            </a:rPr>
            <a:t>treinamento(s) desejado(s).</a:t>
          </a:r>
          <a:endParaRPr lang="pt-BR" sz="1800" b="1">
            <a:solidFill>
              <a:srgbClr val="3AD674"/>
            </a:solidFill>
          </a:endParaRPr>
        </a:p>
      </xdr:txBody>
    </xdr:sp>
    <xdr:clientData/>
  </xdr:twoCellAnchor>
  <xdr:twoCellAnchor>
    <xdr:from>
      <xdr:col>4</xdr:col>
      <xdr:colOff>0</xdr:colOff>
      <xdr:row>30</xdr:row>
      <xdr:rowOff>0</xdr:rowOff>
    </xdr:from>
    <xdr:to>
      <xdr:col>6</xdr:col>
      <xdr:colOff>0</xdr:colOff>
      <xdr:row>30</xdr:row>
      <xdr:rowOff>0</xdr:rowOff>
    </xdr:to>
    <xdr:cxnSp macro="">
      <xdr:nvCxnSpPr>
        <xdr:cNvPr id="2" name="Conector reto 79">
          <a:extLst>
            <a:ext uri="{FF2B5EF4-FFF2-40B4-BE49-F238E27FC236}">
              <a16:creationId xmlns:a16="http://schemas.microsoft.com/office/drawing/2014/main" id="{B9AFFA4F-E2B6-4B85-ACD8-06B69CD1B91E}"/>
            </a:ext>
          </a:extLst>
        </xdr:cNvPr>
        <xdr:cNvCxnSpPr/>
      </xdr:nvCxnSpPr>
      <xdr:spPr>
        <a:xfrm>
          <a:off x="2879912" y="9233647"/>
          <a:ext cx="2286000" cy="0"/>
        </a:xfrm>
        <a:prstGeom prst="line">
          <a:avLst/>
        </a:prstGeom>
        <a:ln w="19050">
          <a:solidFill>
            <a:srgbClr val="F4F1F0"/>
          </a:solidFill>
        </a:ln>
        <a:effectLst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</xdr:row>
      <xdr:rowOff>0</xdr:rowOff>
    </xdr:from>
    <xdr:to>
      <xdr:col>9</xdr:col>
      <xdr:colOff>0</xdr:colOff>
      <xdr:row>30</xdr:row>
      <xdr:rowOff>0</xdr:rowOff>
    </xdr:to>
    <xdr:cxnSp macro="">
      <xdr:nvCxnSpPr>
        <xdr:cNvPr id="3" name="Conector reto 79">
          <a:extLst>
            <a:ext uri="{FF2B5EF4-FFF2-40B4-BE49-F238E27FC236}">
              <a16:creationId xmlns:a16="http://schemas.microsoft.com/office/drawing/2014/main" id="{9A84D6E8-E17B-036F-D750-F8ADF091693C}"/>
            </a:ext>
          </a:extLst>
        </xdr:cNvPr>
        <xdr:cNvCxnSpPr/>
      </xdr:nvCxnSpPr>
      <xdr:spPr>
        <a:xfrm>
          <a:off x="5378824" y="9233647"/>
          <a:ext cx="2286000" cy="0"/>
        </a:xfrm>
        <a:prstGeom prst="line">
          <a:avLst/>
        </a:prstGeom>
        <a:ln w="19050">
          <a:solidFill>
            <a:srgbClr val="F4F1F0"/>
          </a:solidFill>
        </a:ln>
        <a:effectLst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30</xdr:row>
      <xdr:rowOff>0</xdr:rowOff>
    </xdr:from>
    <xdr:to>
      <xdr:col>12</xdr:col>
      <xdr:colOff>0</xdr:colOff>
      <xdr:row>30</xdr:row>
      <xdr:rowOff>0</xdr:rowOff>
    </xdr:to>
    <xdr:cxnSp macro="">
      <xdr:nvCxnSpPr>
        <xdr:cNvPr id="4" name="Conector reto 79">
          <a:extLst>
            <a:ext uri="{FF2B5EF4-FFF2-40B4-BE49-F238E27FC236}">
              <a16:creationId xmlns:a16="http://schemas.microsoft.com/office/drawing/2014/main" id="{20466D0B-BF8D-9F3D-AED9-D4643D1F7703}"/>
            </a:ext>
          </a:extLst>
        </xdr:cNvPr>
        <xdr:cNvCxnSpPr/>
      </xdr:nvCxnSpPr>
      <xdr:spPr>
        <a:xfrm>
          <a:off x="7877735" y="9233647"/>
          <a:ext cx="2286000" cy="0"/>
        </a:xfrm>
        <a:prstGeom prst="line">
          <a:avLst/>
        </a:prstGeom>
        <a:ln w="19050">
          <a:solidFill>
            <a:srgbClr val="F4F1F0"/>
          </a:solidFill>
        </a:ln>
        <a:effectLst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201706</xdr:colOff>
      <xdr:row>30</xdr:row>
      <xdr:rowOff>0</xdr:rowOff>
    </xdr:from>
    <xdr:to>
      <xdr:col>15</xdr:col>
      <xdr:colOff>1086970</xdr:colOff>
      <xdr:row>30</xdr:row>
      <xdr:rowOff>0</xdr:rowOff>
    </xdr:to>
    <xdr:cxnSp macro="">
      <xdr:nvCxnSpPr>
        <xdr:cNvPr id="5" name="Conector reto 79">
          <a:extLst>
            <a:ext uri="{FF2B5EF4-FFF2-40B4-BE49-F238E27FC236}">
              <a16:creationId xmlns:a16="http://schemas.microsoft.com/office/drawing/2014/main" id="{C3CE4129-5C95-0F9D-0AC4-18ED8FD01F21}"/>
            </a:ext>
          </a:extLst>
        </xdr:cNvPr>
        <xdr:cNvCxnSpPr/>
      </xdr:nvCxnSpPr>
      <xdr:spPr>
        <a:xfrm>
          <a:off x="10365441" y="9233647"/>
          <a:ext cx="2286000" cy="0"/>
        </a:xfrm>
        <a:prstGeom prst="line">
          <a:avLst/>
        </a:prstGeom>
        <a:ln w="19050">
          <a:solidFill>
            <a:srgbClr val="F4F1F0"/>
          </a:solidFill>
        </a:ln>
        <a:effectLst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0</xdr:colOff>
      <xdr:row>30</xdr:row>
      <xdr:rowOff>0</xdr:rowOff>
    </xdr:from>
    <xdr:to>
      <xdr:col>19</xdr:col>
      <xdr:colOff>0</xdr:colOff>
      <xdr:row>30</xdr:row>
      <xdr:rowOff>0</xdr:rowOff>
    </xdr:to>
    <xdr:cxnSp macro="">
      <xdr:nvCxnSpPr>
        <xdr:cNvPr id="6" name="Conector reto 79">
          <a:extLst>
            <a:ext uri="{FF2B5EF4-FFF2-40B4-BE49-F238E27FC236}">
              <a16:creationId xmlns:a16="http://schemas.microsoft.com/office/drawing/2014/main" id="{C820514C-D7C7-B068-1B85-98BCE4D21E6A}"/>
            </a:ext>
          </a:extLst>
        </xdr:cNvPr>
        <xdr:cNvCxnSpPr/>
      </xdr:nvCxnSpPr>
      <xdr:spPr>
        <a:xfrm>
          <a:off x="12906375" y="9258300"/>
          <a:ext cx="2286000" cy="0"/>
        </a:xfrm>
        <a:prstGeom prst="line">
          <a:avLst/>
        </a:prstGeom>
        <a:ln w="19050">
          <a:solidFill>
            <a:srgbClr val="F4F1F0"/>
          </a:solidFill>
        </a:ln>
        <a:effectLst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204899</xdr:colOff>
      <xdr:row>31</xdr:row>
      <xdr:rowOff>256189</xdr:rowOff>
    </xdr:from>
    <xdr:to>
      <xdr:col>19</xdr:col>
      <xdr:colOff>0</xdr:colOff>
      <xdr:row>31</xdr:row>
      <xdr:rowOff>256189</xdr:rowOff>
    </xdr:to>
    <xdr:cxnSp macro="">
      <xdr:nvCxnSpPr>
        <xdr:cNvPr id="8" name="Conector reto 79">
          <a:extLst>
            <a:ext uri="{FF2B5EF4-FFF2-40B4-BE49-F238E27FC236}">
              <a16:creationId xmlns:a16="http://schemas.microsoft.com/office/drawing/2014/main" id="{8D2C4CCB-B684-FFF2-57B8-764864B53E1C}"/>
            </a:ext>
          </a:extLst>
        </xdr:cNvPr>
        <xdr:cNvCxnSpPr/>
      </xdr:nvCxnSpPr>
      <xdr:spPr>
        <a:xfrm>
          <a:off x="12917111" y="9641977"/>
          <a:ext cx="2293581" cy="0"/>
        </a:xfrm>
        <a:prstGeom prst="line">
          <a:avLst/>
        </a:prstGeom>
        <a:ln w="15875">
          <a:solidFill>
            <a:srgbClr val="FF4F4F"/>
          </a:solidFill>
          <a:prstDash val="sysDot"/>
        </a:ln>
        <a:effectLst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0</xdr:colOff>
      <xdr:row>11</xdr:row>
      <xdr:rowOff>0</xdr:rowOff>
    </xdr:from>
    <xdr:to>
      <xdr:col>22</xdr:col>
      <xdr:colOff>0</xdr:colOff>
      <xdr:row>12</xdr:row>
      <xdr:rowOff>224677</xdr:rowOff>
    </xdr:to>
    <xdr:sp macro="" textlink="">
      <xdr:nvSpPr>
        <xdr:cNvPr id="17" name="Rectangle: Rounded Corners 16">
          <a:extLst>
            <a:ext uri="{FF2B5EF4-FFF2-40B4-BE49-F238E27FC236}">
              <a16:creationId xmlns:a16="http://schemas.microsoft.com/office/drawing/2014/main" id="{FC62821E-8C7D-133E-C294-2270819C0239}"/>
            </a:ext>
          </a:extLst>
        </xdr:cNvPr>
        <xdr:cNvSpPr/>
      </xdr:nvSpPr>
      <xdr:spPr>
        <a:xfrm>
          <a:off x="15569045" y="4727864"/>
          <a:ext cx="2286000" cy="449813"/>
        </a:xfrm>
        <a:prstGeom prst="roundRect">
          <a:avLst/>
        </a:prstGeom>
        <a:solidFill>
          <a:srgbClr val="034858"/>
        </a:solidFill>
        <a:ln w="19050">
          <a:solidFill>
            <a:srgbClr val="3AD674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tIns="0" bIns="0" rtlCol="0" anchor="ctr"/>
        <a:lstStyle/>
        <a:p>
          <a:pPr algn="ctr">
            <a:lnSpc>
              <a:spcPct val="75000"/>
            </a:lnSpc>
          </a:pPr>
          <a:r>
            <a:rPr lang="pt-BR" sz="1400" b="1">
              <a:solidFill>
                <a:srgbClr val="3AD674"/>
              </a:solidFill>
            </a:rPr>
            <a:t>LUCRO</a:t>
          </a:r>
          <a:r>
            <a:rPr lang="pt-BR" sz="1400" b="1" baseline="0">
              <a:solidFill>
                <a:srgbClr val="3AD674"/>
              </a:solidFill>
            </a:rPr>
            <a:t> PRESUMIDO</a:t>
          </a:r>
          <a:br>
            <a:rPr lang="pt-BR" sz="1200" b="1" baseline="0">
              <a:solidFill>
                <a:srgbClr val="3AD674"/>
              </a:solidFill>
            </a:rPr>
          </a:br>
          <a:r>
            <a:rPr lang="pt-BR" sz="1200" b="0" baseline="0">
              <a:solidFill>
                <a:srgbClr val="3AD674"/>
              </a:solidFill>
            </a:rPr>
            <a:t>EQUIPARAÇÃO HOSPITALAR</a:t>
          </a:r>
          <a:endParaRPr lang="pt-BR" sz="1200" b="0">
            <a:solidFill>
              <a:srgbClr val="3AD674"/>
            </a:solidFill>
          </a:endParaRPr>
        </a:p>
      </xdr:txBody>
    </xdr:sp>
    <xdr:clientData/>
  </xdr:twoCellAnchor>
  <xdr:twoCellAnchor>
    <xdr:from>
      <xdr:col>20</xdr:col>
      <xdr:colOff>0</xdr:colOff>
      <xdr:row>17</xdr:row>
      <xdr:rowOff>23814</xdr:rowOff>
    </xdr:from>
    <xdr:to>
      <xdr:col>22</xdr:col>
      <xdr:colOff>0</xdr:colOff>
      <xdr:row>26</xdr:row>
      <xdr:rowOff>5953</xdr:rowOff>
    </xdr:to>
    <xdr:grpSp>
      <xdr:nvGrpSpPr>
        <xdr:cNvPr id="20" name="Group 19">
          <a:extLst>
            <a:ext uri="{FF2B5EF4-FFF2-40B4-BE49-F238E27FC236}">
              <a16:creationId xmlns:a16="http://schemas.microsoft.com/office/drawing/2014/main" id="{91E37268-F37B-45C3-931B-4C83A7A8D0EF}"/>
            </a:ext>
          </a:extLst>
        </xdr:cNvPr>
        <xdr:cNvGrpSpPr/>
      </xdr:nvGrpSpPr>
      <xdr:grpSpPr>
        <a:xfrm>
          <a:off x="15849600" y="6141585"/>
          <a:ext cx="2351314" cy="2083082"/>
          <a:chOff x="217714" y="4650243"/>
          <a:chExt cx="2286000" cy="2186496"/>
        </a:xfrm>
      </xdr:grpSpPr>
      <xdr:cxnSp macro="">
        <xdr:nvCxnSpPr>
          <xdr:cNvPr id="22" name="Conector reto 79">
            <a:extLst>
              <a:ext uri="{FF2B5EF4-FFF2-40B4-BE49-F238E27FC236}">
                <a16:creationId xmlns:a16="http://schemas.microsoft.com/office/drawing/2014/main" id="{B4966A01-5BB0-B31E-4D09-248606C74F8C}"/>
              </a:ext>
            </a:extLst>
          </xdr:cNvPr>
          <xdr:cNvCxnSpPr/>
        </xdr:nvCxnSpPr>
        <xdr:spPr>
          <a:xfrm>
            <a:off x="217714" y="6836739"/>
            <a:ext cx="2286000" cy="0"/>
          </a:xfrm>
          <a:prstGeom prst="line">
            <a:avLst/>
          </a:prstGeom>
          <a:ln w="19050">
            <a:solidFill>
              <a:srgbClr val="3AD674"/>
            </a:solidFill>
          </a:ln>
          <a:effectLst/>
        </xdr:spPr>
        <xdr:style>
          <a:lnRef idx="3">
            <a:schemeClr val="dk1"/>
          </a:lnRef>
          <a:fillRef idx="0">
            <a:schemeClr val="dk1"/>
          </a:fillRef>
          <a:effectRef idx="2">
            <a:schemeClr val="dk1"/>
          </a:effectRef>
          <a:fontRef idx="minor">
            <a:schemeClr val="tx1"/>
          </a:fontRef>
        </xdr:style>
      </xdr:cxnSp>
      <xdr:cxnSp macro="">
        <xdr:nvCxnSpPr>
          <xdr:cNvPr id="28" name="Conector reto 79">
            <a:extLst>
              <a:ext uri="{FF2B5EF4-FFF2-40B4-BE49-F238E27FC236}">
                <a16:creationId xmlns:a16="http://schemas.microsoft.com/office/drawing/2014/main" id="{27DEC842-0FC9-D013-2AD6-EE1C3205DB7B}"/>
              </a:ext>
            </a:extLst>
          </xdr:cNvPr>
          <xdr:cNvCxnSpPr/>
        </xdr:nvCxnSpPr>
        <xdr:spPr>
          <a:xfrm>
            <a:off x="217714" y="6101953"/>
            <a:ext cx="2286000" cy="0"/>
          </a:xfrm>
          <a:prstGeom prst="line">
            <a:avLst/>
          </a:prstGeom>
          <a:ln w="19050">
            <a:solidFill>
              <a:srgbClr val="3AD674"/>
            </a:solidFill>
          </a:ln>
          <a:effectLst/>
        </xdr:spPr>
        <xdr:style>
          <a:lnRef idx="3">
            <a:schemeClr val="dk1"/>
          </a:lnRef>
          <a:fillRef idx="0">
            <a:schemeClr val="dk1"/>
          </a:fillRef>
          <a:effectRef idx="2">
            <a:schemeClr val="dk1"/>
          </a:effectRef>
          <a:fontRef idx="minor">
            <a:schemeClr val="tx1"/>
          </a:fontRef>
        </xdr:style>
      </xdr:cxnSp>
      <xdr:cxnSp macro="">
        <xdr:nvCxnSpPr>
          <xdr:cNvPr id="34" name="Conector reto 79">
            <a:extLst>
              <a:ext uri="{FF2B5EF4-FFF2-40B4-BE49-F238E27FC236}">
                <a16:creationId xmlns:a16="http://schemas.microsoft.com/office/drawing/2014/main" id="{DFF78FDF-8BA1-0C0B-37FA-565BE9440232}"/>
              </a:ext>
            </a:extLst>
          </xdr:cNvPr>
          <xdr:cNvCxnSpPr/>
        </xdr:nvCxnSpPr>
        <xdr:spPr>
          <a:xfrm>
            <a:off x="217714" y="5379074"/>
            <a:ext cx="2286000" cy="0"/>
          </a:xfrm>
          <a:prstGeom prst="line">
            <a:avLst/>
          </a:prstGeom>
          <a:ln w="19050">
            <a:solidFill>
              <a:srgbClr val="3AD674"/>
            </a:solidFill>
          </a:ln>
          <a:effectLst/>
        </xdr:spPr>
        <xdr:style>
          <a:lnRef idx="3">
            <a:schemeClr val="dk1"/>
          </a:lnRef>
          <a:fillRef idx="0">
            <a:schemeClr val="dk1"/>
          </a:fillRef>
          <a:effectRef idx="2">
            <a:schemeClr val="dk1"/>
          </a:effectRef>
          <a:fontRef idx="minor">
            <a:schemeClr val="tx1"/>
          </a:fontRef>
        </xdr:style>
      </xdr:cxnSp>
      <xdr:cxnSp macro="">
        <xdr:nvCxnSpPr>
          <xdr:cNvPr id="35" name="Conector reto 79">
            <a:extLst>
              <a:ext uri="{FF2B5EF4-FFF2-40B4-BE49-F238E27FC236}">
                <a16:creationId xmlns:a16="http://schemas.microsoft.com/office/drawing/2014/main" id="{7AD246B8-6970-4605-5797-D2E3CADC7E9F}"/>
              </a:ext>
            </a:extLst>
          </xdr:cNvPr>
          <xdr:cNvCxnSpPr/>
        </xdr:nvCxnSpPr>
        <xdr:spPr>
          <a:xfrm>
            <a:off x="217714" y="4650243"/>
            <a:ext cx="2286000" cy="0"/>
          </a:xfrm>
          <a:prstGeom prst="line">
            <a:avLst/>
          </a:prstGeom>
          <a:ln w="19050">
            <a:solidFill>
              <a:srgbClr val="3AD674"/>
            </a:solidFill>
          </a:ln>
          <a:effectLst/>
        </xdr:spPr>
        <xdr:style>
          <a:lnRef idx="3">
            <a:schemeClr val="dk1"/>
          </a:lnRef>
          <a:fillRef idx="0">
            <a:schemeClr val="dk1"/>
          </a:fillRef>
          <a:effectRef idx="2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20</xdr:col>
      <xdr:colOff>0</xdr:colOff>
      <xdr:row>30</xdr:row>
      <xdr:rowOff>0</xdr:rowOff>
    </xdr:from>
    <xdr:to>
      <xdr:col>22</xdr:col>
      <xdr:colOff>0</xdr:colOff>
      <xdr:row>30</xdr:row>
      <xdr:rowOff>0</xdr:rowOff>
    </xdr:to>
    <xdr:cxnSp macro="">
      <xdr:nvCxnSpPr>
        <xdr:cNvPr id="40" name="Conector reto 79">
          <a:extLst>
            <a:ext uri="{FF2B5EF4-FFF2-40B4-BE49-F238E27FC236}">
              <a16:creationId xmlns:a16="http://schemas.microsoft.com/office/drawing/2014/main" id="{EBC9A1B2-8E3E-4977-8047-2973920CF243}"/>
            </a:ext>
          </a:extLst>
        </xdr:cNvPr>
        <xdr:cNvCxnSpPr/>
      </xdr:nvCxnSpPr>
      <xdr:spPr>
        <a:xfrm>
          <a:off x="12920382" y="9233647"/>
          <a:ext cx="2286000" cy="0"/>
        </a:xfrm>
        <a:prstGeom prst="line">
          <a:avLst/>
        </a:prstGeom>
        <a:ln w="19050">
          <a:solidFill>
            <a:srgbClr val="F4F1F0"/>
          </a:solidFill>
        </a:ln>
        <a:effectLst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204899</xdr:colOff>
      <xdr:row>31</xdr:row>
      <xdr:rowOff>256189</xdr:rowOff>
    </xdr:from>
    <xdr:to>
      <xdr:col>22</xdr:col>
      <xdr:colOff>0</xdr:colOff>
      <xdr:row>31</xdr:row>
      <xdr:rowOff>256189</xdr:rowOff>
    </xdr:to>
    <xdr:cxnSp macro="">
      <xdr:nvCxnSpPr>
        <xdr:cNvPr id="41" name="Conector reto 79">
          <a:extLst>
            <a:ext uri="{FF2B5EF4-FFF2-40B4-BE49-F238E27FC236}">
              <a16:creationId xmlns:a16="http://schemas.microsoft.com/office/drawing/2014/main" id="{D67A3BBF-A096-4486-A11D-FF2CB9A4D34F}"/>
            </a:ext>
          </a:extLst>
        </xdr:cNvPr>
        <xdr:cNvCxnSpPr/>
      </xdr:nvCxnSpPr>
      <xdr:spPr>
        <a:xfrm>
          <a:off x="12912370" y="9613101"/>
          <a:ext cx="2294012" cy="0"/>
        </a:xfrm>
        <a:prstGeom prst="line">
          <a:avLst/>
        </a:prstGeom>
        <a:ln w="15875">
          <a:solidFill>
            <a:srgbClr val="FF4F4F"/>
          </a:solidFill>
          <a:prstDash val="sysDot"/>
        </a:ln>
        <a:effectLst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11</xdr:col>
      <xdr:colOff>408215</xdr:colOff>
      <xdr:row>41</xdr:row>
      <xdr:rowOff>95250</xdr:rowOff>
    </xdr:from>
    <xdr:to>
      <xdr:col>11</xdr:col>
      <xdr:colOff>815840</xdr:colOff>
      <xdr:row>41</xdr:row>
      <xdr:rowOff>612322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A3E8D32B-31F4-3B80-C936-C4261099A0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02536" y="12042321"/>
          <a:ext cx="407625" cy="51707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369449</xdr:rowOff>
    </xdr:from>
    <xdr:to>
      <xdr:col>23</xdr:col>
      <xdr:colOff>1199029</xdr:colOff>
      <xdr:row>2</xdr:row>
      <xdr:rowOff>29307</xdr:rowOff>
    </xdr:to>
    <xdr:cxnSp macro="">
      <xdr:nvCxnSpPr>
        <xdr:cNvPr id="3" name="Conector reto 2">
          <a:extLst>
            <a:ext uri="{FF2B5EF4-FFF2-40B4-BE49-F238E27FC236}">
              <a16:creationId xmlns:a16="http://schemas.microsoft.com/office/drawing/2014/main" id="{B6ED9B04-E39D-4E35-AEDA-0649FD444A15}"/>
            </a:ext>
          </a:extLst>
        </xdr:cNvPr>
        <xdr:cNvCxnSpPr/>
      </xdr:nvCxnSpPr>
      <xdr:spPr>
        <a:xfrm flipV="1">
          <a:off x="0" y="739243"/>
          <a:ext cx="27611294" cy="29652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9</xdr:row>
      <xdr:rowOff>22107</xdr:rowOff>
    </xdr:from>
    <xdr:to>
      <xdr:col>23</xdr:col>
      <xdr:colOff>1165411</xdr:colOff>
      <xdr:row>9</xdr:row>
      <xdr:rowOff>48345</xdr:rowOff>
    </xdr:to>
    <xdr:cxnSp macro="">
      <xdr:nvCxnSpPr>
        <xdr:cNvPr id="4" name="Conector reto 3">
          <a:extLst>
            <a:ext uri="{FF2B5EF4-FFF2-40B4-BE49-F238E27FC236}">
              <a16:creationId xmlns:a16="http://schemas.microsoft.com/office/drawing/2014/main" id="{4102A0DF-3687-4604-B4BD-B39519386C3F}"/>
            </a:ext>
          </a:extLst>
        </xdr:cNvPr>
        <xdr:cNvCxnSpPr/>
      </xdr:nvCxnSpPr>
      <xdr:spPr>
        <a:xfrm flipV="1">
          <a:off x="0" y="3092519"/>
          <a:ext cx="27577676" cy="26238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2FD613-5FF9-4F87-82A9-10FAF67F6D40}">
  <dimension ref="A1:AK18"/>
  <sheetViews>
    <sheetView showGridLines="0" zoomScale="70" zoomScaleNormal="70" workbookViewId="0">
      <selection activeCell="B3" sqref="B3"/>
    </sheetView>
  </sheetViews>
  <sheetFormatPr defaultColWidth="0" defaultRowHeight="25.8" zeroHeight="1"/>
  <cols>
    <col min="1" max="1" width="43.44140625" style="24" bestFit="1" customWidth="1"/>
    <col min="2" max="13" width="23.109375" customWidth="1"/>
    <col min="14" max="14" width="4.44140625" customWidth="1"/>
    <col min="15" max="15" width="24.5546875" bestFit="1" customWidth="1"/>
    <col min="16" max="16" width="3.6640625" customWidth="1"/>
    <col min="17" max="19" width="21.88671875" customWidth="1"/>
    <col min="20" max="20" width="50.109375" bestFit="1" customWidth="1"/>
    <col min="21" max="21" width="21.88671875" customWidth="1"/>
    <col min="22" max="37" width="0" hidden="1" customWidth="1"/>
    <col min="38" max="16384" width="21.88671875" hidden="1"/>
  </cols>
  <sheetData>
    <row r="1" spans="1:21" s="17" customFormat="1" ht="25.2" thickBot="1">
      <c r="A1" s="18"/>
      <c r="B1" s="16" t="s">
        <v>25</v>
      </c>
      <c r="C1" s="16" t="s">
        <v>26</v>
      </c>
      <c r="D1" s="16" t="s">
        <v>27</v>
      </c>
      <c r="E1" s="16" t="s">
        <v>28</v>
      </c>
      <c r="F1" s="16" t="s">
        <v>29</v>
      </c>
      <c r="G1" s="16" t="s">
        <v>30</v>
      </c>
      <c r="H1" s="16" t="s">
        <v>31</v>
      </c>
      <c r="I1" s="16" t="s">
        <v>32</v>
      </c>
      <c r="J1" s="16" t="s">
        <v>33</v>
      </c>
      <c r="K1" s="16" t="s">
        <v>34</v>
      </c>
      <c r="L1" s="16" t="s">
        <v>35</v>
      </c>
      <c r="M1" s="16" t="s">
        <v>36</v>
      </c>
      <c r="O1" s="16" t="s">
        <v>37</v>
      </c>
      <c r="Q1" s="13" t="s">
        <v>38</v>
      </c>
    </row>
    <row r="2" spans="1:21" s="1" customFormat="1" ht="25.2" thickBot="1">
      <c r="A2" s="19" t="s">
        <v>1</v>
      </c>
      <c r="B2" s="6">
        <f>Calculadora!C18</f>
        <v>0</v>
      </c>
      <c r="C2" s="6">
        <f>B2</f>
        <v>0</v>
      </c>
      <c r="D2" s="6">
        <f t="shared" ref="D2:M2" si="0">C2</f>
        <v>0</v>
      </c>
      <c r="E2" s="6">
        <f t="shared" si="0"/>
        <v>0</v>
      </c>
      <c r="F2" s="6">
        <f t="shared" si="0"/>
        <v>0</v>
      </c>
      <c r="G2" s="6">
        <f t="shared" si="0"/>
        <v>0</v>
      </c>
      <c r="H2" s="6">
        <f t="shared" si="0"/>
        <v>0</v>
      </c>
      <c r="I2" s="6">
        <f t="shared" si="0"/>
        <v>0</v>
      </c>
      <c r="J2" s="6">
        <f t="shared" si="0"/>
        <v>0</v>
      </c>
      <c r="K2" s="6">
        <f t="shared" si="0"/>
        <v>0</v>
      </c>
      <c r="L2" s="6">
        <f t="shared" si="0"/>
        <v>0</v>
      </c>
      <c r="M2" s="6">
        <f t="shared" si="0"/>
        <v>0</v>
      </c>
      <c r="O2" s="25">
        <f>SUM(B2:M2)</f>
        <v>0</v>
      </c>
      <c r="Q2" s="13" t="s">
        <v>8</v>
      </c>
      <c r="R2" s="13" t="s">
        <v>9</v>
      </c>
      <c r="S2" s="13" t="s">
        <v>10</v>
      </c>
      <c r="T2" s="13" t="s">
        <v>11</v>
      </c>
    </row>
    <row r="3" spans="1:21" s="1" customFormat="1" ht="25.2" thickBot="1">
      <c r="A3" s="19" t="s">
        <v>2</v>
      </c>
      <c r="B3" s="7">
        <f>Calculadora!$C$19</f>
        <v>350000</v>
      </c>
      <c r="C3" s="7">
        <f>Calculadora!$C$19</f>
        <v>350000</v>
      </c>
      <c r="D3" s="7">
        <f>Calculadora!$C$19</f>
        <v>350000</v>
      </c>
      <c r="E3" s="7">
        <f>Calculadora!$C$19</f>
        <v>350000</v>
      </c>
      <c r="F3" s="7">
        <f>Calculadora!$C$19</f>
        <v>350000</v>
      </c>
      <c r="G3" s="7">
        <f>Calculadora!$C$19</f>
        <v>350000</v>
      </c>
      <c r="H3" s="7">
        <f>Calculadora!$C$19</f>
        <v>350000</v>
      </c>
      <c r="I3" s="7">
        <f>Calculadora!$C$19</f>
        <v>350000</v>
      </c>
      <c r="J3" s="7">
        <f>Calculadora!$C$19</f>
        <v>350000</v>
      </c>
      <c r="K3" s="7">
        <f>Calculadora!$C$19</f>
        <v>350000</v>
      </c>
      <c r="L3" s="7">
        <f>Calculadora!$C$19</f>
        <v>350000</v>
      </c>
      <c r="M3" s="7">
        <f>Calculadora!$C$19</f>
        <v>350000</v>
      </c>
      <c r="O3" s="25">
        <f>SUM(B3:M3)</f>
        <v>4200000</v>
      </c>
      <c r="Q3" s="26" t="s">
        <v>12</v>
      </c>
      <c r="R3" s="27">
        <v>0.06</v>
      </c>
      <c r="S3" s="26" t="s">
        <v>13</v>
      </c>
      <c r="T3" s="26" t="s">
        <v>14</v>
      </c>
    </row>
    <row r="4" spans="1:21" s="1" customFormat="1" ht="25.2" thickBot="1">
      <c r="A4" s="20" t="s">
        <v>0</v>
      </c>
      <c r="B4" s="10">
        <f t="shared" ref="B4:M4" si="1">SUM(B2:B3)</f>
        <v>350000</v>
      </c>
      <c r="C4" s="10">
        <f t="shared" si="1"/>
        <v>350000</v>
      </c>
      <c r="D4" s="10">
        <f t="shared" si="1"/>
        <v>350000</v>
      </c>
      <c r="E4" s="10">
        <f t="shared" si="1"/>
        <v>350000</v>
      </c>
      <c r="F4" s="10">
        <f t="shared" si="1"/>
        <v>350000</v>
      </c>
      <c r="G4" s="10">
        <f t="shared" si="1"/>
        <v>350000</v>
      </c>
      <c r="H4" s="10">
        <f t="shared" si="1"/>
        <v>350000</v>
      </c>
      <c r="I4" s="10">
        <f t="shared" si="1"/>
        <v>350000</v>
      </c>
      <c r="J4" s="10">
        <f t="shared" si="1"/>
        <v>350000</v>
      </c>
      <c r="K4" s="10">
        <f t="shared" si="1"/>
        <v>350000</v>
      </c>
      <c r="L4" s="10">
        <f t="shared" si="1"/>
        <v>350000</v>
      </c>
      <c r="M4" s="10">
        <f t="shared" si="1"/>
        <v>350000</v>
      </c>
      <c r="O4" s="10">
        <f>SUM(B4:M4)</f>
        <v>4200000</v>
      </c>
      <c r="Q4" s="28" t="s">
        <v>15</v>
      </c>
      <c r="R4" s="29">
        <v>0.112</v>
      </c>
      <c r="S4" s="30">
        <v>9360</v>
      </c>
      <c r="T4" s="28" t="s">
        <v>16</v>
      </c>
    </row>
    <row r="5" spans="1:21" s="2" customFormat="1" ht="25.2" thickBot="1">
      <c r="A5" s="21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Q5" s="26" t="s">
        <v>17</v>
      </c>
      <c r="R5" s="27">
        <v>0.13500000000000001</v>
      </c>
      <c r="S5" s="31">
        <v>17640</v>
      </c>
      <c r="T5" s="26" t="s">
        <v>18</v>
      </c>
      <c r="U5" s="1"/>
    </row>
    <row r="6" spans="1:21" s="2" customFormat="1" ht="30.6" thickBot="1">
      <c r="A6" s="281"/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Q6" s="28" t="s">
        <v>19</v>
      </c>
      <c r="R6" s="29">
        <v>0.16</v>
      </c>
      <c r="S6" s="30">
        <v>35640</v>
      </c>
      <c r="T6" s="28" t="s">
        <v>20</v>
      </c>
      <c r="U6" s="1"/>
    </row>
    <row r="7" spans="1:21" s="1" customFormat="1" ht="25.2" thickBot="1">
      <c r="A7" s="22" t="s">
        <v>5</v>
      </c>
      <c r="B7" s="9">
        <f>SUM(B4)*12</f>
        <v>4200000</v>
      </c>
      <c r="C7" s="9">
        <f t="shared" ref="C7:M7" si="2">SUM(C4)*12</f>
        <v>4200000</v>
      </c>
      <c r="D7" s="9">
        <f t="shared" si="2"/>
        <v>4200000</v>
      </c>
      <c r="E7" s="9">
        <f t="shared" si="2"/>
        <v>4200000</v>
      </c>
      <c r="F7" s="9">
        <f t="shared" si="2"/>
        <v>4200000</v>
      </c>
      <c r="G7" s="9">
        <f t="shared" si="2"/>
        <v>4200000</v>
      </c>
      <c r="H7" s="9">
        <f t="shared" si="2"/>
        <v>4200000</v>
      </c>
      <c r="I7" s="9">
        <f t="shared" si="2"/>
        <v>4200000</v>
      </c>
      <c r="J7" s="9">
        <f t="shared" si="2"/>
        <v>4200000</v>
      </c>
      <c r="K7" s="9">
        <f t="shared" si="2"/>
        <v>4200000</v>
      </c>
      <c r="L7" s="9">
        <f t="shared" si="2"/>
        <v>4200000</v>
      </c>
      <c r="M7" s="9">
        <f t="shared" si="2"/>
        <v>4200000</v>
      </c>
      <c r="Q7" s="26" t="s">
        <v>21</v>
      </c>
      <c r="R7" s="27">
        <v>0.21</v>
      </c>
      <c r="S7" s="31">
        <v>125640</v>
      </c>
      <c r="T7" s="26" t="s">
        <v>22</v>
      </c>
    </row>
    <row r="8" spans="1:21" s="1" customFormat="1" ht="25.2" thickBot="1">
      <c r="A8" s="22" t="s">
        <v>3</v>
      </c>
      <c r="B8" s="14" t="str">
        <f>IF(B7&lt;=180000,"6%",IF(AND(B7&gt;180000,B7&lt;=360000),"11,20%",IF(AND(B7&gt;360000,B7&lt;=720000),"13,5%",IF(AND(B7&gt;720000,B7&lt;=1800000),"16%",IF(AND(B7&gt;1800000,B7&lt;=3600000),"21%",IF(AND(B7&gt;3600000,B7&lt;=4800000),"33%",0))))))</f>
        <v>33%</v>
      </c>
      <c r="C8" s="14" t="str">
        <f t="shared" ref="C8:M8" si="3">IF(C7&lt;=180000,"6%",IF(AND(C7&gt;180000,C7&lt;=360000),"11,20%",IF(AND(C7&gt;360000,C7&lt;=720000),"13,5%",IF(AND(C7&gt;720000,C7&lt;=1800000),"16%",IF(AND(C7&gt;1800000,C7&lt;=3600000),"21%",IF(AND(C7&gt;3600000,C7&lt;=4800000),"33%",0))))))</f>
        <v>33%</v>
      </c>
      <c r="D8" s="14" t="str">
        <f t="shared" si="3"/>
        <v>33%</v>
      </c>
      <c r="E8" s="14" t="str">
        <f t="shared" si="3"/>
        <v>33%</v>
      </c>
      <c r="F8" s="14" t="str">
        <f t="shared" si="3"/>
        <v>33%</v>
      </c>
      <c r="G8" s="14" t="str">
        <f t="shared" si="3"/>
        <v>33%</v>
      </c>
      <c r="H8" s="14" t="str">
        <f t="shared" si="3"/>
        <v>33%</v>
      </c>
      <c r="I8" s="14" t="str">
        <f t="shared" si="3"/>
        <v>33%</v>
      </c>
      <c r="J8" s="14" t="str">
        <f t="shared" si="3"/>
        <v>33%</v>
      </c>
      <c r="K8" s="14" t="str">
        <f t="shared" si="3"/>
        <v>33%</v>
      </c>
      <c r="L8" s="14" t="str">
        <f t="shared" si="3"/>
        <v>33%</v>
      </c>
      <c r="M8" s="14" t="str">
        <f t="shared" si="3"/>
        <v>33%</v>
      </c>
      <c r="Q8" s="28" t="s">
        <v>23</v>
      </c>
      <c r="R8" s="29">
        <v>0.33</v>
      </c>
      <c r="S8" s="30">
        <v>648000</v>
      </c>
      <c r="T8" s="28" t="s">
        <v>24</v>
      </c>
      <c r="U8" s="2"/>
    </row>
    <row r="9" spans="1:21" s="1" customFormat="1" ht="24.6">
      <c r="A9" s="22" t="s">
        <v>6</v>
      </c>
      <c r="B9" s="15" t="str">
        <f>IF(B7&lt;=180000,"0",IF(AND(B7&gt;180000,B7&lt;=360000),"9360",IF(AND(B7&gt;360000,B7&lt;=720000),"17640",IF(AND(B7&gt;720000,B7&lt;=1800000),"35640",IF(AND(B7&gt;1800000,B7&lt;=3600000),"125640",IF(AND(B7&gt;3600000,B7&lt;=4800000),"648000",0))))))</f>
        <v>648000</v>
      </c>
      <c r="C9" s="15" t="str">
        <f t="shared" ref="C9:M9" si="4">IF(C7&lt;=180000,"0",IF(AND(C7&gt;180000,C7&lt;=360000),"9360",IF(AND(C7&gt;360000,C7&lt;=720000),"17640",IF(AND(C7&gt;720000,C7&lt;=1800000),"35640",IF(AND(C7&gt;1800000,C7&lt;=3600000),"125640",IF(AND(C7&gt;3600000,C7&lt;=4800000),"648000",0))))))</f>
        <v>648000</v>
      </c>
      <c r="D9" s="15" t="str">
        <f t="shared" si="4"/>
        <v>648000</v>
      </c>
      <c r="E9" s="15" t="str">
        <f t="shared" si="4"/>
        <v>648000</v>
      </c>
      <c r="F9" s="15" t="str">
        <f t="shared" si="4"/>
        <v>648000</v>
      </c>
      <c r="G9" s="15" t="str">
        <f t="shared" si="4"/>
        <v>648000</v>
      </c>
      <c r="H9" s="15" t="str">
        <f t="shared" si="4"/>
        <v>648000</v>
      </c>
      <c r="I9" s="15" t="str">
        <f t="shared" si="4"/>
        <v>648000</v>
      </c>
      <c r="J9" s="15" t="str">
        <f t="shared" si="4"/>
        <v>648000</v>
      </c>
      <c r="K9" s="15" t="str">
        <f t="shared" si="4"/>
        <v>648000</v>
      </c>
      <c r="L9" s="15" t="str">
        <f t="shared" si="4"/>
        <v>648000</v>
      </c>
      <c r="M9" s="15" t="str">
        <f t="shared" si="4"/>
        <v>648000</v>
      </c>
      <c r="Q9"/>
      <c r="R9"/>
      <c r="S9"/>
      <c r="T9"/>
      <c r="U9"/>
    </row>
    <row r="10" spans="1:21" s="1" customFormat="1" ht="24.6">
      <c r="A10" s="22" t="s">
        <v>7</v>
      </c>
      <c r="B10" s="8">
        <f t="shared" ref="B10" si="5">(B7*B8-B9)/B7</f>
        <v>0.17571428571428571</v>
      </c>
      <c r="C10" s="8">
        <f t="shared" ref="C10:M10" si="6">(C7*C8-C9)/C7</f>
        <v>0.17571428571428571</v>
      </c>
      <c r="D10" s="8">
        <f t="shared" si="6"/>
        <v>0.17571428571428571</v>
      </c>
      <c r="E10" s="8">
        <f t="shared" si="6"/>
        <v>0.17571428571428571</v>
      </c>
      <c r="F10" s="8">
        <f t="shared" si="6"/>
        <v>0.17571428571428571</v>
      </c>
      <c r="G10" s="8">
        <f t="shared" si="6"/>
        <v>0.17571428571428571</v>
      </c>
      <c r="H10" s="8">
        <f t="shared" si="6"/>
        <v>0.17571428571428571</v>
      </c>
      <c r="I10" s="8">
        <f t="shared" si="6"/>
        <v>0.17571428571428571</v>
      </c>
      <c r="J10" s="8">
        <f t="shared" si="6"/>
        <v>0.17571428571428571</v>
      </c>
      <c r="K10" s="8">
        <f t="shared" si="6"/>
        <v>0.17571428571428571</v>
      </c>
      <c r="L10" s="8">
        <f t="shared" si="6"/>
        <v>0.17571428571428571</v>
      </c>
      <c r="M10" s="8">
        <f t="shared" si="6"/>
        <v>0.17571428571428571</v>
      </c>
      <c r="Q10"/>
      <c r="R10"/>
      <c r="S10"/>
      <c r="T10"/>
      <c r="U10"/>
    </row>
    <row r="11" spans="1:21" s="1" customFormat="1" ht="24.6">
      <c r="A11" s="20" t="s">
        <v>4</v>
      </c>
      <c r="B11" s="11">
        <f>B4*B10</f>
        <v>61500</v>
      </c>
      <c r="C11" s="11">
        <f t="shared" ref="C11:M11" si="7">C4*C10</f>
        <v>61500</v>
      </c>
      <c r="D11" s="11">
        <f t="shared" si="7"/>
        <v>61500</v>
      </c>
      <c r="E11" s="11">
        <f t="shared" si="7"/>
        <v>61500</v>
      </c>
      <c r="F11" s="11">
        <f t="shared" si="7"/>
        <v>61500</v>
      </c>
      <c r="G11" s="11">
        <f t="shared" si="7"/>
        <v>61500</v>
      </c>
      <c r="H11" s="11">
        <f t="shared" si="7"/>
        <v>61500</v>
      </c>
      <c r="I11" s="11">
        <f t="shared" si="7"/>
        <v>61500</v>
      </c>
      <c r="J11" s="11">
        <f t="shared" si="7"/>
        <v>61500</v>
      </c>
      <c r="K11" s="11">
        <f t="shared" si="7"/>
        <v>61500</v>
      </c>
      <c r="L11" s="11">
        <f t="shared" si="7"/>
        <v>61500</v>
      </c>
      <c r="M11" s="11">
        <f t="shared" si="7"/>
        <v>61500</v>
      </c>
      <c r="O11" s="10">
        <f>SUM(B11:M11)</f>
        <v>738000</v>
      </c>
      <c r="Q11"/>
      <c r="R11"/>
      <c r="S11"/>
      <c r="T11"/>
      <c r="U11"/>
    </row>
    <row r="12" spans="1:21" s="1" customFormat="1" ht="24.6">
      <c r="A12" s="2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</row>
    <row r="13" spans="1:21" s="1" customFormat="1" ht="24.6">
      <c r="A13" s="20" t="s">
        <v>89</v>
      </c>
      <c r="B13" s="54" t="str">
        <f>IF(B7&lt;=3600000,"43,40%","30,50%")</f>
        <v>30,50%</v>
      </c>
      <c r="C13" s="54" t="str">
        <f t="shared" ref="C13:M13" si="8">IF(C7&lt;=3600000,"43,40%","30,50%")</f>
        <v>30,50%</v>
      </c>
      <c r="D13" s="54" t="str">
        <f t="shared" si="8"/>
        <v>30,50%</v>
      </c>
      <c r="E13" s="54" t="str">
        <f t="shared" si="8"/>
        <v>30,50%</v>
      </c>
      <c r="F13" s="54" t="str">
        <f t="shared" si="8"/>
        <v>30,50%</v>
      </c>
      <c r="G13" s="54" t="str">
        <f t="shared" si="8"/>
        <v>30,50%</v>
      </c>
      <c r="H13" s="54" t="str">
        <f t="shared" si="8"/>
        <v>30,50%</v>
      </c>
      <c r="I13" s="54" t="str">
        <f t="shared" si="8"/>
        <v>30,50%</v>
      </c>
      <c r="J13" s="54" t="str">
        <f t="shared" si="8"/>
        <v>30,50%</v>
      </c>
      <c r="K13" s="54" t="str">
        <f t="shared" si="8"/>
        <v>30,50%</v>
      </c>
      <c r="L13" s="54" t="str">
        <f t="shared" si="8"/>
        <v>30,50%</v>
      </c>
      <c r="M13" s="54" t="str">
        <f t="shared" si="8"/>
        <v>30,50%</v>
      </c>
      <c r="N13"/>
      <c r="O13"/>
    </row>
    <row r="14" spans="1:21" s="1" customFormat="1" ht="24.6">
      <c r="A14" s="20" t="s">
        <v>88</v>
      </c>
      <c r="B14" s="11">
        <f>B11*B13</f>
        <v>18757.5</v>
      </c>
      <c r="C14" s="11">
        <f t="shared" ref="C14:M14" si="9">C11*C13</f>
        <v>18757.5</v>
      </c>
      <c r="D14" s="11">
        <f t="shared" si="9"/>
        <v>18757.5</v>
      </c>
      <c r="E14" s="11">
        <f t="shared" si="9"/>
        <v>18757.5</v>
      </c>
      <c r="F14" s="11">
        <f t="shared" si="9"/>
        <v>18757.5</v>
      </c>
      <c r="G14" s="11">
        <f t="shared" si="9"/>
        <v>18757.5</v>
      </c>
      <c r="H14" s="11">
        <f t="shared" si="9"/>
        <v>18757.5</v>
      </c>
      <c r="I14" s="11">
        <f t="shared" si="9"/>
        <v>18757.5</v>
      </c>
      <c r="J14" s="11">
        <f t="shared" si="9"/>
        <v>18757.5</v>
      </c>
      <c r="K14" s="11">
        <f t="shared" si="9"/>
        <v>18757.5</v>
      </c>
      <c r="L14" s="11">
        <f t="shared" si="9"/>
        <v>18757.5</v>
      </c>
      <c r="M14" s="11">
        <f t="shared" si="9"/>
        <v>18757.5</v>
      </c>
      <c r="N14"/>
      <c r="O14" s="10">
        <f>SUM(B14:M14)</f>
        <v>225090</v>
      </c>
    </row>
    <row r="15" spans="1:21"/>
    <row r="18" spans="2:2" hidden="1">
      <c r="B18" s="52"/>
    </row>
  </sheetData>
  <mergeCells count="1">
    <mergeCell ref="A6:M6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65F443-B28A-4770-952F-232F33F85525}">
  <dimension ref="A1:AK19"/>
  <sheetViews>
    <sheetView showGridLines="0" zoomScale="70" zoomScaleNormal="70" workbookViewId="0">
      <selection activeCell="D23" sqref="D23"/>
    </sheetView>
  </sheetViews>
  <sheetFormatPr defaultColWidth="0" defaultRowHeight="25.8"/>
  <cols>
    <col min="1" max="1" width="43.44140625" style="24" bestFit="1" customWidth="1"/>
    <col min="2" max="13" width="23.109375" customWidth="1"/>
    <col min="14" max="14" width="4.44140625" customWidth="1"/>
    <col min="15" max="15" width="24.5546875" bestFit="1" customWidth="1"/>
    <col min="16" max="16" width="7.6640625" customWidth="1"/>
    <col min="17" max="19" width="21.88671875" customWidth="1"/>
    <col min="20" max="20" width="46.44140625" customWidth="1"/>
    <col min="21" max="37" width="0" hidden="1" customWidth="1"/>
    <col min="38" max="16384" width="21.88671875" hidden="1"/>
  </cols>
  <sheetData>
    <row r="1" spans="1:22" s="17" customFormat="1" ht="25.2" thickBot="1">
      <c r="A1" s="18"/>
      <c r="B1" s="16" t="s">
        <v>25</v>
      </c>
      <c r="C1" s="16" t="s">
        <v>26</v>
      </c>
      <c r="D1" s="16" t="s">
        <v>27</v>
      </c>
      <c r="E1" s="16" t="s">
        <v>28</v>
      </c>
      <c r="F1" s="16" t="s">
        <v>29</v>
      </c>
      <c r="G1" s="16" t="s">
        <v>30</v>
      </c>
      <c r="H1" s="16" t="s">
        <v>31</v>
      </c>
      <c r="I1" s="16" t="s">
        <v>32</v>
      </c>
      <c r="J1" s="16" t="s">
        <v>33</v>
      </c>
      <c r="K1" s="16" t="s">
        <v>34</v>
      </c>
      <c r="L1" s="16" t="s">
        <v>35</v>
      </c>
      <c r="M1" s="16" t="s">
        <v>36</v>
      </c>
      <c r="O1" s="16" t="s">
        <v>37</v>
      </c>
      <c r="Q1" s="13" t="s">
        <v>39</v>
      </c>
    </row>
    <row r="2" spans="1:22" s="1" customFormat="1" ht="25.2" thickBot="1">
      <c r="A2" s="19" t="s">
        <v>1</v>
      </c>
      <c r="B2" s="6">
        <f>Calculadora!C18</f>
        <v>0</v>
      </c>
      <c r="C2" s="6">
        <f>B2</f>
        <v>0</v>
      </c>
      <c r="D2" s="6">
        <f t="shared" ref="D2:M2" si="0">C2</f>
        <v>0</v>
      </c>
      <c r="E2" s="6">
        <f t="shared" si="0"/>
        <v>0</v>
      </c>
      <c r="F2" s="6">
        <f t="shared" si="0"/>
        <v>0</v>
      </c>
      <c r="G2" s="6">
        <f t="shared" si="0"/>
        <v>0</v>
      </c>
      <c r="H2" s="6">
        <f t="shared" si="0"/>
        <v>0</v>
      </c>
      <c r="I2" s="6">
        <f t="shared" si="0"/>
        <v>0</v>
      </c>
      <c r="J2" s="6">
        <f t="shared" si="0"/>
        <v>0</v>
      </c>
      <c r="K2" s="6">
        <f t="shared" si="0"/>
        <v>0</v>
      </c>
      <c r="L2" s="6">
        <f t="shared" si="0"/>
        <v>0</v>
      </c>
      <c r="M2" s="6">
        <f t="shared" si="0"/>
        <v>0</v>
      </c>
      <c r="O2" s="25">
        <f>SUM(B2:M2)</f>
        <v>0</v>
      </c>
      <c r="Q2" s="13" t="s">
        <v>8</v>
      </c>
      <c r="R2" s="13" t="s">
        <v>9</v>
      </c>
      <c r="S2" s="13" t="s">
        <v>10</v>
      </c>
      <c r="T2" s="13" t="s">
        <v>11</v>
      </c>
    </row>
    <row r="3" spans="1:22" s="1" customFormat="1" ht="25.2" thickBot="1">
      <c r="A3" s="19" t="s">
        <v>2</v>
      </c>
      <c r="B3" s="7">
        <f>Calculadora!$C$19</f>
        <v>350000</v>
      </c>
      <c r="C3" s="7">
        <f>Calculadora!$C$19</f>
        <v>350000</v>
      </c>
      <c r="D3" s="7">
        <f>Calculadora!$C$19</f>
        <v>350000</v>
      </c>
      <c r="E3" s="7">
        <f>Calculadora!$C$19</f>
        <v>350000</v>
      </c>
      <c r="F3" s="7">
        <f>Calculadora!$C$19</f>
        <v>350000</v>
      </c>
      <c r="G3" s="7">
        <f>Calculadora!$C$19</f>
        <v>350000</v>
      </c>
      <c r="H3" s="7">
        <f>Calculadora!$C$19</f>
        <v>350000</v>
      </c>
      <c r="I3" s="7">
        <f>Calculadora!$C$19</f>
        <v>350000</v>
      </c>
      <c r="J3" s="7">
        <f>Calculadora!$C$19</f>
        <v>350000</v>
      </c>
      <c r="K3" s="7">
        <f>Calculadora!$C$19</f>
        <v>350000</v>
      </c>
      <c r="L3" s="7">
        <f>Calculadora!$C$19</f>
        <v>350000</v>
      </c>
      <c r="M3" s="7">
        <f>Calculadora!$C$19</f>
        <v>350000</v>
      </c>
      <c r="O3" s="25">
        <f>SUM(B3:M3)</f>
        <v>4200000</v>
      </c>
      <c r="Q3" s="26" t="s">
        <v>12</v>
      </c>
      <c r="R3" s="27">
        <v>0.155</v>
      </c>
      <c r="S3" s="26" t="s">
        <v>13</v>
      </c>
      <c r="T3" s="26" t="s">
        <v>14</v>
      </c>
    </row>
    <row r="4" spans="1:22" s="1" customFormat="1" ht="25.2" thickBot="1">
      <c r="A4" s="20" t="s">
        <v>0</v>
      </c>
      <c r="B4" s="10">
        <f t="shared" ref="B4:M4" si="1">SUM(B2:B3)</f>
        <v>350000</v>
      </c>
      <c r="C4" s="10">
        <f t="shared" si="1"/>
        <v>350000</v>
      </c>
      <c r="D4" s="10">
        <f t="shared" si="1"/>
        <v>350000</v>
      </c>
      <c r="E4" s="10">
        <f t="shared" si="1"/>
        <v>350000</v>
      </c>
      <c r="F4" s="10">
        <f t="shared" si="1"/>
        <v>350000</v>
      </c>
      <c r="G4" s="10">
        <f t="shared" si="1"/>
        <v>350000</v>
      </c>
      <c r="H4" s="10">
        <f t="shared" si="1"/>
        <v>350000</v>
      </c>
      <c r="I4" s="10">
        <f t="shared" si="1"/>
        <v>350000</v>
      </c>
      <c r="J4" s="10">
        <f t="shared" si="1"/>
        <v>350000</v>
      </c>
      <c r="K4" s="10">
        <f t="shared" si="1"/>
        <v>350000</v>
      </c>
      <c r="L4" s="10">
        <f t="shared" si="1"/>
        <v>350000</v>
      </c>
      <c r="M4" s="10">
        <f t="shared" si="1"/>
        <v>350000</v>
      </c>
      <c r="O4" s="10">
        <f>SUM(B4:M4)</f>
        <v>4200000</v>
      </c>
      <c r="Q4" s="28" t="s">
        <v>15</v>
      </c>
      <c r="R4" s="29">
        <v>0.18</v>
      </c>
      <c r="S4" s="30">
        <v>4500</v>
      </c>
      <c r="T4" s="28" t="s">
        <v>16</v>
      </c>
    </row>
    <row r="5" spans="1:22" s="2" customFormat="1" ht="25.2" thickBot="1">
      <c r="A5" s="21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Q5" s="26" t="s">
        <v>17</v>
      </c>
      <c r="R5" s="27">
        <v>0.19500000000000001</v>
      </c>
      <c r="S5" s="31">
        <v>9900</v>
      </c>
      <c r="T5" s="26" t="s">
        <v>18</v>
      </c>
      <c r="U5" s="1"/>
      <c r="V5" s="1"/>
    </row>
    <row r="6" spans="1:22" s="2" customFormat="1" ht="30.6" thickBot="1">
      <c r="A6" s="281"/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Q6" s="28" t="s">
        <v>19</v>
      </c>
      <c r="R6" s="29">
        <v>0.20499999999999999</v>
      </c>
      <c r="S6" s="30">
        <v>17100</v>
      </c>
      <c r="T6" s="28" t="s">
        <v>20</v>
      </c>
      <c r="U6" s="1"/>
      <c r="V6" s="1"/>
    </row>
    <row r="7" spans="1:22" s="1" customFormat="1" ht="25.2" thickBot="1">
      <c r="A7" s="22" t="s">
        <v>5</v>
      </c>
      <c r="B7" s="9">
        <f>SUM(B4)*12</f>
        <v>4200000</v>
      </c>
      <c r="C7" s="9">
        <f t="shared" ref="C7:M7" si="2">SUM(C4)*12</f>
        <v>4200000</v>
      </c>
      <c r="D7" s="9">
        <f t="shared" si="2"/>
        <v>4200000</v>
      </c>
      <c r="E7" s="9">
        <f t="shared" si="2"/>
        <v>4200000</v>
      </c>
      <c r="F7" s="9">
        <f t="shared" si="2"/>
        <v>4200000</v>
      </c>
      <c r="G7" s="9">
        <f t="shared" si="2"/>
        <v>4200000</v>
      </c>
      <c r="H7" s="9">
        <f t="shared" si="2"/>
        <v>4200000</v>
      </c>
      <c r="I7" s="9">
        <f t="shared" si="2"/>
        <v>4200000</v>
      </c>
      <c r="J7" s="9">
        <f t="shared" si="2"/>
        <v>4200000</v>
      </c>
      <c r="K7" s="9">
        <f t="shared" si="2"/>
        <v>4200000</v>
      </c>
      <c r="L7" s="9">
        <f t="shared" si="2"/>
        <v>4200000</v>
      </c>
      <c r="M7" s="9">
        <f t="shared" si="2"/>
        <v>4200000</v>
      </c>
      <c r="Q7" s="26" t="s">
        <v>21</v>
      </c>
      <c r="R7" s="27">
        <v>0.23</v>
      </c>
      <c r="S7" s="31">
        <v>62100</v>
      </c>
      <c r="T7" s="26" t="s">
        <v>22</v>
      </c>
    </row>
    <row r="8" spans="1:22" s="1" customFormat="1" ht="25.2" thickBot="1">
      <c r="A8" s="22" t="s">
        <v>3</v>
      </c>
      <c r="B8" s="14" t="str">
        <f>IF(B7&lt;=180000,"15,5%",IF(AND(B7&gt;180000,B7&lt;=360000),"18%",IF(AND(B7&gt;360000,B7&lt;=720000),"19,5%",IF(AND(B7&gt;720000,B7&lt;=1800000),"20,5%",IF(AND(B7&gt;1800000,B7&lt;=3600000),"23%",IF(AND(B7&gt;3600000,B7&lt;=4800000),"30,5%",0))))))</f>
        <v>30,5%</v>
      </c>
      <c r="C8" s="14" t="str">
        <f t="shared" ref="C8:M8" si="3">IF(C7&lt;=180000,"15,5%",IF(AND(C7&gt;180000,C7&lt;=360000),"18%",IF(AND(C7&gt;360000,C7&lt;=720000),"19,5%",IF(AND(C7&gt;720000,C7&lt;=1800000),"20,5%",IF(AND(C7&gt;1800000,C7&lt;=3600000),"23%",IF(AND(C7&gt;3600000,C7&lt;=4800000),"30,5%",0))))))</f>
        <v>30,5%</v>
      </c>
      <c r="D8" s="14" t="str">
        <f t="shared" si="3"/>
        <v>30,5%</v>
      </c>
      <c r="E8" s="14" t="str">
        <f t="shared" si="3"/>
        <v>30,5%</v>
      </c>
      <c r="F8" s="14" t="str">
        <f t="shared" si="3"/>
        <v>30,5%</v>
      </c>
      <c r="G8" s="14" t="str">
        <f t="shared" si="3"/>
        <v>30,5%</v>
      </c>
      <c r="H8" s="14" t="str">
        <f t="shared" si="3"/>
        <v>30,5%</v>
      </c>
      <c r="I8" s="14" t="str">
        <f t="shared" si="3"/>
        <v>30,5%</v>
      </c>
      <c r="J8" s="14" t="str">
        <f t="shared" si="3"/>
        <v>30,5%</v>
      </c>
      <c r="K8" s="14" t="str">
        <f t="shared" si="3"/>
        <v>30,5%</v>
      </c>
      <c r="L8" s="14" t="str">
        <f t="shared" si="3"/>
        <v>30,5%</v>
      </c>
      <c r="M8" s="14" t="str">
        <f t="shared" si="3"/>
        <v>30,5%</v>
      </c>
      <c r="Q8" s="28" t="s">
        <v>23</v>
      </c>
      <c r="R8" s="29">
        <v>0.30499999999999999</v>
      </c>
      <c r="S8" s="30">
        <v>540000</v>
      </c>
      <c r="T8" s="28" t="s">
        <v>24</v>
      </c>
    </row>
    <row r="9" spans="1:22" s="1" customFormat="1" ht="24.6">
      <c r="A9" s="22" t="s">
        <v>6</v>
      </c>
      <c r="B9" s="15" t="str">
        <f>IF(B7&lt;=180000,"0",IF(AND(B7&gt;180000,B7&lt;=360000),"4500",IF(AND(B7&gt;360000,B7&lt;=720000),"9900",IF(AND(B7&gt;720000,B7&lt;=1800000),"17100",IF(AND(B7&gt;1800000,B7&lt;=3600000),"62100",IF(AND(B7&gt;3600000,B7&lt;=4800000),"540000",0))))))</f>
        <v>540000</v>
      </c>
      <c r="C9" s="15" t="str">
        <f t="shared" ref="C9:M9" si="4">IF(C7&lt;=180000,"0",IF(AND(C7&gt;180000,C7&lt;=360000),"4500",IF(AND(C7&gt;360000,C7&lt;=720000),"9900",IF(AND(C7&gt;720000,C7&lt;=1800000),"17100",IF(AND(C7&gt;1800000,C7&lt;=3600000),"62100",IF(AND(C7&gt;3600000,C7&lt;=4800000),"540000",0))))))</f>
        <v>540000</v>
      </c>
      <c r="D9" s="15" t="str">
        <f t="shared" si="4"/>
        <v>540000</v>
      </c>
      <c r="E9" s="15" t="str">
        <f t="shared" si="4"/>
        <v>540000</v>
      </c>
      <c r="F9" s="15" t="str">
        <f t="shared" si="4"/>
        <v>540000</v>
      </c>
      <c r="G9" s="15" t="str">
        <f t="shared" si="4"/>
        <v>540000</v>
      </c>
      <c r="H9" s="15" t="str">
        <f t="shared" si="4"/>
        <v>540000</v>
      </c>
      <c r="I9" s="15" t="str">
        <f t="shared" si="4"/>
        <v>540000</v>
      </c>
      <c r="J9" s="15" t="str">
        <f t="shared" si="4"/>
        <v>540000</v>
      </c>
      <c r="K9" s="15" t="str">
        <f t="shared" si="4"/>
        <v>540000</v>
      </c>
      <c r="L9" s="15" t="str">
        <f t="shared" si="4"/>
        <v>540000</v>
      </c>
      <c r="M9" s="15" t="str">
        <f t="shared" si="4"/>
        <v>540000</v>
      </c>
    </row>
    <row r="10" spans="1:22" s="1" customFormat="1" ht="24.6">
      <c r="A10" s="22" t="s">
        <v>7</v>
      </c>
      <c r="B10" s="8">
        <f t="shared" ref="B10" si="5">(B7*B8-B9)/B7</f>
        <v>0.17642857142857143</v>
      </c>
      <c r="C10" s="8">
        <f t="shared" ref="C10:M10" si="6">(C7*C8-C9)/C7</f>
        <v>0.17642857142857143</v>
      </c>
      <c r="D10" s="8">
        <f t="shared" si="6"/>
        <v>0.17642857142857143</v>
      </c>
      <c r="E10" s="8">
        <f t="shared" si="6"/>
        <v>0.17642857142857143</v>
      </c>
      <c r="F10" s="8">
        <f t="shared" si="6"/>
        <v>0.17642857142857143</v>
      </c>
      <c r="G10" s="8">
        <f t="shared" si="6"/>
        <v>0.17642857142857143</v>
      </c>
      <c r="H10" s="8">
        <f t="shared" si="6"/>
        <v>0.17642857142857143</v>
      </c>
      <c r="I10" s="8">
        <f t="shared" si="6"/>
        <v>0.17642857142857143</v>
      </c>
      <c r="J10" s="8">
        <f t="shared" si="6"/>
        <v>0.17642857142857143</v>
      </c>
      <c r="K10" s="8">
        <f t="shared" si="6"/>
        <v>0.17642857142857143</v>
      </c>
      <c r="L10" s="8">
        <f t="shared" si="6"/>
        <v>0.17642857142857143</v>
      </c>
      <c r="M10" s="8">
        <f t="shared" si="6"/>
        <v>0.17642857142857143</v>
      </c>
    </row>
    <row r="11" spans="1:22" s="1" customFormat="1" ht="24.6">
      <c r="A11" s="20" t="s">
        <v>4</v>
      </c>
      <c r="B11" s="11">
        <f>B4*B10</f>
        <v>61750</v>
      </c>
      <c r="C11" s="11">
        <f t="shared" ref="C11:M11" si="7">C4*C10</f>
        <v>61750</v>
      </c>
      <c r="D11" s="11">
        <f t="shared" si="7"/>
        <v>61750</v>
      </c>
      <c r="E11" s="11">
        <f t="shared" si="7"/>
        <v>61750</v>
      </c>
      <c r="F11" s="11">
        <f t="shared" si="7"/>
        <v>61750</v>
      </c>
      <c r="G11" s="11">
        <f t="shared" si="7"/>
        <v>61750</v>
      </c>
      <c r="H11" s="11">
        <f t="shared" si="7"/>
        <v>61750</v>
      </c>
      <c r="I11" s="11">
        <f t="shared" si="7"/>
        <v>61750</v>
      </c>
      <c r="J11" s="11">
        <f t="shared" si="7"/>
        <v>61750</v>
      </c>
      <c r="K11" s="11">
        <f t="shared" si="7"/>
        <v>61750</v>
      </c>
      <c r="L11" s="11">
        <f t="shared" si="7"/>
        <v>61750</v>
      </c>
      <c r="M11" s="11">
        <f t="shared" si="7"/>
        <v>61750</v>
      </c>
      <c r="O11" s="10">
        <f>SUM(B11:M11)</f>
        <v>741000</v>
      </c>
      <c r="Q11" s="2"/>
      <c r="R11" s="2"/>
      <c r="S11" s="2"/>
      <c r="T11" s="2"/>
      <c r="U11" s="2"/>
      <c r="V11" s="2"/>
    </row>
    <row r="12" spans="1:22" s="1" customFormat="1" ht="24.6">
      <c r="A12" s="2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</row>
    <row r="13" spans="1:22" s="1" customFormat="1">
      <c r="A13" s="24"/>
      <c r="B13"/>
      <c r="C13"/>
      <c r="D13"/>
      <c r="E13"/>
      <c r="F13"/>
      <c r="G13"/>
      <c r="H13"/>
      <c r="I13"/>
      <c r="J13"/>
      <c r="K13"/>
      <c r="L13"/>
      <c r="M13"/>
      <c r="N13"/>
      <c r="O13"/>
    </row>
    <row r="14" spans="1:22" s="1" customFormat="1">
      <c r="A14" s="24"/>
      <c r="B14"/>
      <c r="C14"/>
      <c r="D14"/>
      <c r="E14"/>
      <c r="F14"/>
      <c r="G14"/>
      <c r="H14"/>
      <c r="I14"/>
      <c r="J14"/>
      <c r="K14"/>
      <c r="L14"/>
      <c r="M14"/>
      <c r="N14"/>
      <c r="O14"/>
    </row>
    <row r="15" spans="1:22" s="1" customFormat="1">
      <c r="A15" s="24"/>
      <c r="B15"/>
      <c r="C15"/>
      <c r="D15"/>
      <c r="E15"/>
      <c r="F15"/>
      <c r="G15"/>
      <c r="H15"/>
      <c r="I15"/>
      <c r="J15"/>
      <c r="K15"/>
      <c r="L15"/>
      <c r="M15"/>
      <c r="N15"/>
      <c r="O15"/>
    </row>
    <row r="16" spans="1:22" s="1" customFormat="1">
      <c r="A16" s="24"/>
      <c r="B16"/>
      <c r="C16"/>
      <c r="D16"/>
      <c r="E16"/>
      <c r="F16"/>
      <c r="G16"/>
      <c r="H16"/>
      <c r="I16"/>
      <c r="J16"/>
      <c r="K16"/>
      <c r="L16"/>
      <c r="M16"/>
      <c r="N16"/>
      <c r="O16"/>
    </row>
    <row r="17" spans="1:15" s="1" customFormat="1">
      <c r="A17" s="24"/>
      <c r="B17"/>
      <c r="C17"/>
      <c r="D17"/>
      <c r="E17"/>
      <c r="F17"/>
      <c r="G17"/>
      <c r="H17"/>
      <c r="I17"/>
      <c r="J17"/>
      <c r="K17"/>
      <c r="L17"/>
      <c r="M17"/>
      <c r="N17"/>
      <c r="O17"/>
    </row>
    <row r="18" spans="1:15" s="1" customFormat="1">
      <c r="A18" s="24"/>
      <c r="B18"/>
      <c r="C18"/>
      <c r="D18"/>
      <c r="E18"/>
      <c r="F18"/>
      <c r="G18"/>
      <c r="H18"/>
      <c r="I18"/>
      <c r="J18"/>
      <c r="K18"/>
      <c r="L18"/>
      <c r="M18"/>
      <c r="N18"/>
      <c r="O18"/>
    </row>
    <row r="19" spans="1:15" s="2" customFormat="1">
      <c r="A19" s="24"/>
      <c r="B19"/>
      <c r="C19"/>
      <c r="D19"/>
      <c r="E19"/>
      <c r="F19"/>
      <c r="G19"/>
      <c r="H19"/>
      <c r="I19"/>
      <c r="J19"/>
      <c r="K19"/>
      <c r="L19"/>
      <c r="M19"/>
      <c r="N19"/>
      <c r="O19"/>
    </row>
  </sheetData>
  <mergeCells count="1">
    <mergeCell ref="A6:M6"/>
  </mergeCells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494550-F587-42BB-9599-FA582FA75003}">
  <dimension ref="A1:L12"/>
  <sheetViews>
    <sheetView showGridLines="0" workbookViewId="0">
      <selection activeCell="B4" sqref="B4"/>
    </sheetView>
  </sheetViews>
  <sheetFormatPr defaultColWidth="0" defaultRowHeight="14.4"/>
  <cols>
    <col min="1" max="1" width="43.44140625" bestFit="1" customWidth="1"/>
    <col min="2" max="2" width="16" bestFit="1" customWidth="1"/>
    <col min="3" max="4" width="9.109375" customWidth="1"/>
    <col min="5" max="5" width="39" customWidth="1"/>
    <col min="6" max="12" width="9.109375" customWidth="1"/>
    <col min="13" max="16384" width="9.109375" hidden="1"/>
  </cols>
  <sheetData>
    <row r="1" spans="1:2" ht="24.6">
      <c r="A1" s="19" t="s">
        <v>0</v>
      </c>
      <c r="B1" s="7">
        <f>SUM(Calculadora!C18:C19)</f>
        <v>350000</v>
      </c>
    </row>
    <row r="2" spans="1:2" ht="24.6">
      <c r="A2" s="20" t="s">
        <v>0</v>
      </c>
      <c r="B2" s="10">
        <f>SUM(B1:B1)</f>
        <v>350000</v>
      </c>
    </row>
    <row r="4" spans="1:2" ht="24.6">
      <c r="A4" s="19" t="s">
        <v>74</v>
      </c>
      <c r="B4" s="7">
        <f>Calculadora!C27-Calculadora!F32-Calculadora!L4-Calculadora!L6-(Calculadora!L4*Calculadora!T4)</f>
        <v>-7288.3719999999994</v>
      </c>
    </row>
    <row r="5" spans="1:2" ht="24.6">
      <c r="A5" s="20" t="s">
        <v>74</v>
      </c>
      <c r="B5" s="10">
        <f>SUM(B4:B4)</f>
        <v>-7288.3719999999994</v>
      </c>
    </row>
    <row r="7" spans="1:2" ht="24.6">
      <c r="A7" s="20" t="s">
        <v>75</v>
      </c>
      <c r="B7" s="10">
        <f>B2+B5</f>
        <v>342711.62800000003</v>
      </c>
    </row>
    <row r="10" spans="1:2" ht="24.6">
      <c r="A10" s="19" t="s">
        <v>3</v>
      </c>
      <c r="B10" s="192">
        <f>IF(B7&lt;=SUSPENSA!E20,SUSPENSA!H20,IF(AND(B7&gt;SUSPENSA!E21,B7&lt;=SUSPENSA!F21),SUSPENSA!G21,IF(AND(B7&gt;SUSPENSA!E22,B7&lt;=SUSPENSA!F22),SUSPENSA!G22,IF(AND(B7&gt;SUSPENSA!E23,B7&lt;=SUSPENSA!F23),SUSPENSA!G23,IF(AND(B7&gt;SUSPENSA!E24),SUSPENSA!G24,0)))))</f>
        <v>0.27500000000000002</v>
      </c>
    </row>
    <row r="11" spans="1:2" ht="24.6">
      <c r="A11" s="19" t="s">
        <v>6</v>
      </c>
      <c r="B11" s="191">
        <f>IF(B7&lt;=SUSPENSA!E20,SUSPENSA!H20,IF(AND(B7&gt;SUSPENSA!E21,B7&lt;=SUSPENSA!F21),SUSPENSA!H21,IF(AND(B7&gt;SUSPENSA!E22,B7&lt;=SUSPENSA!F22),SUSPENSA!H22,IF(AND(B7&gt;SUSPENSA!E23,B7&lt;=SUSPENSA!F23),SUSPENSA!H23,IF(AND(B7&gt;SUSPENSA!E24),SUSPENSA!H24,0)))))</f>
        <v>896</v>
      </c>
    </row>
    <row r="12" spans="1:2" ht="24.6">
      <c r="A12" s="20"/>
      <c r="B12" s="10">
        <f>(B7*B10)-B11</f>
        <v>93349.697700000019</v>
      </c>
    </row>
  </sheetData>
  <pageMargins left="0.511811024" right="0.511811024" top="0.78740157499999996" bottom="0.78740157499999996" header="0.31496062000000002" footer="0.31496062000000002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09455D-937A-423F-82DC-A46B77E1E39D}">
  <dimension ref="A1:O40"/>
  <sheetViews>
    <sheetView showGridLines="0" zoomScale="85" zoomScaleNormal="85" workbookViewId="0">
      <selection activeCell="R16" sqref="R16"/>
    </sheetView>
  </sheetViews>
  <sheetFormatPr defaultColWidth="9.109375" defaultRowHeight="13.8"/>
  <cols>
    <col min="1" max="1" width="19.5546875" style="1" bestFit="1" customWidth="1"/>
    <col min="2" max="13" width="16" style="40" bestFit="1" customWidth="1"/>
    <col min="14" max="14" width="3.6640625" style="3" customWidth="1"/>
    <col min="15" max="15" width="18.5546875" style="1" bestFit="1" customWidth="1"/>
    <col min="16" max="16" width="9.5546875" style="1" bestFit="1" customWidth="1"/>
    <col min="17" max="16384" width="9.109375" style="1"/>
  </cols>
  <sheetData>
    <row r="1" spans="1:15">
      <c r="A1" s="32"/>
      <c r="B1" s="33" t="s">
        <v>25</v>
      </c>
      <c r="C1" s="33" t="s">
        <v>26</v>
      </c>
      <c r="D1" s="33" t="s">
        <v>27</v>
      </c>
      <c r="E1" s="33" t="s">
        <v>28</v>
      </c>
      <c r="F1" s="33" t="s">
        <v>29</v>
      </c>
      <c r="G1" s="33" t="s">
        <v>30</v>
      </c>
      <c r="H1" s="33" t="s">
        <v>31</v>
      </c>
      <c r="I1" s="33" t="s">
        <v>32</v>
      </c>
      <c r="J1" s="33" t="s">
        <v>33</v>
      </c>
      <c r="K1" s="33" t="s">
        <v>34</v>
      </c>
      <c r="L1" s="33" t="s">
        <v>35</v>
      </c>
      <c r="M1" s="33" t="s">
        <v>36</v>
      </c>
      <c r="N1" s="41"/>
      <c r="O1" s="33" t="s">
        <v>37</v>
      </c>
    </row>
    <row r="2" spans="1:15">
      <c r="A2" s="34" t="s">
        <v>1</v>
      </c>
      <c r="B2" s="34">
        <f>Calculadora!C18</f>
        <v>0</v>
      </c>
      <c r="C2" s="34">
        <f>B2</f>
        <v>0</v>
      </c>
      <c r="D2" s="34">
        <f t="shared" ref="D2:M2" si="0">C2</f>
        <v>0</v>
      </c>
      <c r="E2" s="34">
        <f t="shared" si="0"/>
        <v>0</v>
      </c>
      <c r="F2" s="34">
        <f t="shared" si="0"/>
        <v>0</v>
      </c>
      <c r="G2" s="34">
        <f t="shared" si="0"/>
        <v>0</v>
      </c>
      <c r="H2" s="34">
        <f t="shared" si="0"/>
        <v>0</v>
      </c>
      <c r="I2" s="34">
        <f t="shared" si="0"/>
        <v>0</v>
      </c>
      <c r="J2" s="34">
        <f t="shared" si="0"/>
        <v>0</v>
      </c>
      <c r="K2" s="34">
        <f t="shared" si="0"/>
        <v>0</v>
      </c>
      <c r="L2" s="34">
        <f t="shared" si="0"/>
        <v>0</v>
      </c>
      <c r="M2" s="34">
        <f t="shared" si="0"/>
        <v>0</v>
      </c>
      <c r="N2" s="42"/>
      <c r="O2" s="4"/>
    </row>
    <row r="3" spans="1:15">
      <c r="A3" s="34" t="s">
        <v>2</v>
      </c>
      <c r="B3" s="34">
        <f>Calculadora!$C$19</f>
        <v>350000</v>
      </c>
      <c r="C3" s="34">
        <f>Calculadora!$C$19</f>
        <v>350000</v>
      </c>
      <c r="D3" s="34">
        <f>Calculadora!$C$19</f>
        <v>350000</v>
      </c>
      <c r="E3" s="34">
        <f>Calculadora!$C$19</f>
        <v>350000</v>
      </c>
      <c r="F3" s="34">
        <f>Calculadora!$C$19</f>
        <v>350000</v>
      </c>
      <c r="G3" s="34">
        <f>Calculadora!$C$19</f>
        <v>350000</v>
      </c>
      <c r="H3" s="34">
        <f>Calculadora!$C$19</f>
        <v>350000</v>
      </c>
      <c r="I3" s="34">
        <f>Calculadora!$C$19</f>
        <v>350000</v>
      </c>
      <c r="J3" s="34">
        <f>Calculadora!$C$19</f>
        <v>350000</v>
      </c>
      <c r="K3" s="34">
        <f>Calculadora!$C$19</f>
        <v>350000</v>
      </c>
      <c r="L3" s="34">
        <f>Calculadora!$C$19</f>
        <v>350000</v>
      </c>
      <c r="M3" s="34">
        <f>Calculadora!$C$19</f>
        <v>350000</v>
      </c>
      <c r="N3" s="42"/>
      <c r="O3" s="4">
        <f>SUM(B3:M3)</f>
        <v>4200000</v>
      </c>
    </row>
    <row r="4" spans="1:15">
      <c r="A4" s="35" t="s">
        <v>0</v>
      </c>
      <c r="B4" s="36">
        <f>SUM(B2:B3)</f>
        <v>350000</v>
      </c>
      <c r="C4" s="36">
        <f t="shared" ref="C4:M4" si="1">SUM(C2:C3)</f>
        <v>350000</v>
      </c>
      <c r="D4" s="36">
        <f t="shared" si="1"/>
        <v>350000</v>
      </c>
      <c r="E4" s="36">
        <f t="shared" si="1"/>
        <v>350000</v>
      </c>
      <c r="F4" s="36">
        <f t="shared" si="1"/>
        <v>350000</v>
      </c>
      <c r="G4" s="36">
        <f t="shared" si="1"/>
        <v>350000</v>
      </c>
      <c r="H4" s="36">
        <f t="shared" si="1"/>
        <v>350000</v>
      </c>
      <c r="I4" s="36">
        <f t="shared" si="1"/>
        <v>350000</v>
      </c>
      <c r="J4" s="36">
        <f t="shared" si="1"/>
        <v>350000</v>
      </c>
      <c r="K4" s="36">
        <f t="shared" si="1"/>
        <v>350000</v>
      </c>
      <c r="L4" s="36">
        <f t="shared" si="1"/>
        <v>350000</v>
      </c>
      <c r="M4" s="36">
        <f t="shared" si="1"/>
        <v>350000</v>
      </c>
      <c r="N4" s="43"/>
      <c r="O4" s="44">
        <f>O3</f>
        <v>4200000</v>
      </c>
    </row>
    <row r="5" spans="1:15" s="2" customFormat="1">
      <c r="A5" s="37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12"/>
      <c r="O5" s="45"/>
    </row>
    <row r="6" spans="1:15">
      <c r="A6" s="38" t="s">
        <v>40</v>
      </c>
      <c r="B6" s="34">
        <f>B4*0.65%</f>
        <v>2275</v>
      </c>
      <c r="C6" s="34">
        <f t="shared" ref="C6:M6" si="2">C4*0.65%</f>
        <v>2275</v>
      </c>
      <c r="D6" s="34">
        <f t="shared" si="2"/>
        <v>2275</v>
      </c>
      <c r="E6" s="34">
        <f t="shared" si="2"/>
        <v>2275</v>
      </c>
      <c r="F6" s="34">
        <f t="shared" si="2"/>
        <v>2275</v>
      </c>
      <c r="G6" s="34">
        <f t="shared" si="2"/>
        <v>2275</v>
      </c>
      <c r="H6" s="34">
        <f t="shared" si="2"/>
        <v>2275</v>
      </c>
      <c r="I6" s="34">
        <f t="shared" si="2"/>
        <v>2275</v>
      </c>
      <c r="J6" s="34">
        <f t="shared" si="2"/>
        <v>2275</v>
      </c>
      <c r="K6" s="34">
        <f t="shared" si="2"/>
        <v>2275</v>
      </c>
      <c r="L6" s="34">
        <f t="shared" si="2"/>
        <v>2275</v>
      </c>
      <c r="M6" s="34">
        <f t="shared" si="2"/>
        <v>2275</v>
      </c>
      <c r="N6" s="42"/>
      <c r="O6" s="4">
        <f>SUM(B6:M6)</f>
        <v>27300</v>
      </c>
    </row>
    <row r="7" spans="1:15">
      <c r="A7" s="38" t="s">
        <v>41</v>
      </c>
      <c r="B7" s="34">
        <f>B4*3%</f>
        <v>10500</v>
      </c>
      <c r="C7" s="34">
        <f t="shared" ref="C7:M7" si="3">C4*3%</f>
        <v>10500</v>
      </c>
      <c r="D7" s="34">
        <f t="shared" si="3"/>
        <v>10500</v>
      </c>
      <c r="E7" s="34">
        <f t="shared" si="3"/>
        <v>10500</v>
      </c>
      <c r="F7" s="34">
        <f t="shared" si="3"/>
        <v>10500</v>
      </c>
      <c r="G7" s="34">
        <f t="shared" si="3"/>
        <v>10500</v>
      </c>
      <c r="H7" s="34">
        <f t="shared" si="3"/>
        <v>10500</v>
      </c>
      <c r="I7" s="34">
        <f t="shared" si="3"/>
        <v>10500</v>
      </c>
      <c r="J7" s="34">
        <f t="shared" si="3"/>
        <v>10500</v>
      </c>
      <c r="K7" s="34">
        <f t="shared" si="3"/>
        <v>10500</v>
      </c>
      <c r="L7" s="34">
        <f t="shared" si="3"/>
        <v>10500</v>
      </c>
      <c r="M7" s="34">
        <f t="shared" si="3"/>
        <v>10500</v>
      </c>
      <c r="N7" s="42"/>
      <c r="O7" s="4">
        <f t="shared" ref="O7:O11" si="4">SUM(B7:M7)</f>
        <v>126000</v>
      </c>
    </row>
    <row r="8" spans="1:15">
      <c r="A8" s="38" t="s">
        <v>42</v>
      </c>
      <c r="B8" s="34">
        <f>B4*Calculadora!$C$22</f>
        <v>17500</v>
      </c>
      <c r="C8" s="34">
        <f>C4*Calculadora!$C$22</f>
        <v>17500</v>
      </c>
      <c r="D8" s="34">
        <f>D4*Calculadora!$C$22</f>
        <v>17500</v>
      </c>
      <c r="E8" s="34">
        <f>E4*Calculadora!$C$22</f>
        <v>17500</v>
      </c>
      <c r="F8" s="34">
        <f>F4*Calculadora!$C$22</f>
        <v>17500</v>
      </c>
      <c r="G8" s="34">
        <f>G4*Calculadora!$C$22</f>
        <v>17500</v>
      </c>
      <c r="H8" s="34">
        <f>H4*Calculadora!$C$22</f>
        <v>17500</v>
      </c>
      <c r="I8" s="34">
        <f>I4*Calculadora!$C$22</f>
        <v>17500</v>
      </c>
      <c r="J8" s="34">
        <f>J4*Calculadora!$C$22</f>
        <v>17500</v>
      </c>
      <c r="K8" s="34">
        <f>K4*Calculadora!$C$22</f>
        <v>17500</v>
      </c>
      <c r="L8" s="34">
        <f>L4*Calculadora!$C$22</f>
        <v>17500</v>
      </c>
      <c r="M8" s="34">
        <f>M4*Calculadora!$C$22</f>
        <v>17500</v>
      </c>
      <c r="N8" s="42"/>
      <c r="O8" s="4">
        <f t="shared" si="4"/>
        <v>210000</v>
      </c>
    </row>
    <row r="9" spans="1:15">
      <c r="A9" s="38" t="s">
        <v>43</v>
      </c>
      <c r="B9" s="34">
        <f>B4*Calculadora!$C$20*15%</f>
        <v>16800</v>
      </c>
      <c r="C9" s="34">
        <f>C4*Calculadora!$C$20*15%</f>
        <v>16800</v>
      </c>
      <c r="D9" s="34">
        <f>D4*Calculadora!$C$20*15%</f>
        <v>16800</v>
      </c>
      <c r="E9" s="34">
        <f>E4*Calculadora!$C$20*15%</f>
        <v>16800</v>
      </c>
      <c r="F9" s="34">
        <f>F4*Calculadora!$C$20*15%</f>
        <v>16800</v>
      </c>
      <c r="G9" s="34">
        <f>G4*Calculadora!$C$20*15%</f>
        <v>16800</v>
      </c>
      <c r="H9" s="34">
        <f>H4*Calculadora!$C$20*15%</f>
        <v>16800</v>
      </c>
      <c r="I9" s="34">
        <f>I4*Calculadora!$C$20*15%</f>
        <v>16800</v>
      </c>
      <c r="J9" s="34">
        <f>J4*Calculadora!$C$20*15%</f>
        <v>16800</v>
      </c>
      <c r="K9" s="34">
        <f>K4*Calculadora!$C$20*15%</f>
        <v>16800</v>
      </c>
      <c r="L9" s="34">
        <f>L4*Calculadora!$C$20*15%</f>
        <v>16800</v>
      </c>
      <c r="M9" s="34">
        <f>M4*Calculadora!$C$20*15%</f>
        <v>16800</v>
      </c>
      <c r="N9" s="42"/>
      <c r="O9" s="4">
        <f t="shared" si="4"/>
        <v>201600</v>
      </c>
    </row>
    <row r="10" spans="1:15">
      <c r="A10" s="38" t="s">
        <v>45</v>
      </c>
      <c r="B10" s="34">
        <f>IF((B4*Calculadora!$C$20)&gt;20000,((('Lucro Presumido'!B4*Calculadora!$C$20)-20000)*10%),0)</f>
        <v>9200</v>
      </c>
      <c r="C10" s="34">
        <f>IF((C4*Calculadora!$C$20)&gt;20000,((('Lucro Presumido'!C4*Calculadora!$C$20)-20000)*10%),0)</f>
        <v>9200</v>
      </c>
      <c r="D10" s="34">
        <f>IF((D4*Calculadora!$C$20)&gt;20000,((('Lucro Presumido'!D4*Calculadora!$C$20)-20000)*10%),0)</f>
        <v>9200</v>
      </c>
      <c r="E10" s="34">
        <f>IF((E4*Calculadora!$C$20)&gt;20000,((('Lucro Presumido'!E4*Calculadora!$C$20)-20000)*10%),0)</f>
        <v>9200</v>
      </c>
      <c r="F10" s="34">
        <f>IF((F4*Calculadora!$C$20)&gt;20000,((('Lucro Presumido'!F4*Calculadora!$C$20)-20000)*10%),0)</f>
        <v>9200</v>
      </c>
      <c r="G10" s="34">
        <f>IF((G4*Calculadora!$C$20)&gt;20000,((('Lucro Presumido'!G4*Calculadora!$C$20)-20000)*10%),0)</f>
        <v>9200</v>
      </c>
      <c r="H10" s="34">
        <f>IF((H4*Calculadora!$C$20)&gt;20000,((('Lucro Presumido'!H4*Calculadora!$C$20)-20000)*10%),0)</f>
        <v>9200</v>
      </c>
      <c r="I10" s="34">
        <f>IF((I4*Calculadora!$C$20)&gt;20000,((('Lucro Presumido'!I4*Calculadora!$C$20)-20000)*10%),0)</f>
        <v>9200</v>
      </c>
      <c r="J10" s="34">
        <f>IF((J4*Calculadora!$C$20)&gt;20000,((('Lucro Presumido'!J4*Calculadora!$C$20)-20000)*10%),0)</f>
        <v>9200</v>
      </c>
      <c r="K10" s="34">
        <f>IF((K4*Calculadora!$C$20)&gt;20000,((('Lucro Presumido'!K4*Calculadora!$C$20)-20000)*10%),0)</f>
        <v>9200</v>
      </c>
      <c r="L10" s="34">
        <f>IF((L4*Calculadora!$C$20)&gt;20000,((('Lucro Presumido'!L4*Calculadora!$C$20)-20000)*10%),0)</f>
        <v>9200</v>
      </c>
      <c r="M10" s="34">
        <f>IF((M4*Calculadora!$C$20)&gt;20000,((('Lucro Presumido'!M4*Calculadora!$C$20)-20000)*10%),0)</f>
        <v>9200</v>
      </c>
      <c r="N10" s="42"/>
      <c r="O10" s="4">
        <f t="shared" si="4"/>
        <v>110400</v>
      </c>
    </row>
    <row r="11" spans="1:15">
      <c r="A11" s="38" t="s">
        <v>46</v>
      </c>
      <c r="B11" s="34">
        <f>B4*Calculadora!$C$21*9%</f>
        <v>10080</v>
      </c>
      <c r="C11" s="34">
        <f>C4*Calculadora!$C$21*9%</f>
        <v>10080</v>
      </c>
      <c r="D11" s="34">
        <f>D4*Calculadora!$C$21*9%</f>
        <v>10080</v>
      </c>
      <c r="E11" s="34">
        <f>E4*Calculadora!$C$21*9%</f>
        <v>10080</v>
      </c>
      <c r="F11" s="34">
        <f>F4*Calculadora!$C$21*9%</f>
        <v>10080</v>
      </c>
      <c r="G11" s="34">
        <f>G4*Calculadora!$C$21*9%</f>
        <v>10080</v>
      </c>
      <c r="H11" s="34">
        <f>H4*Calculadora!$C$21*9%</f>
        <v>10080</v>
      </c>
      <c r="I11" s="34">
        <f>I4*Calculadora!$C$21*9%</f>
        <v>10080</v>
      </c>
      <c r="J11" s="34">
        <f>J4*Calculadora!$C$21*9%</f>
        <v>10080</v>
      </c>
      <c r="K11" s="34">
        <f>K4*Calculadora!$C$21*9%</f>
        <v>10080</v>
      </c>
      <c r="L11" s="34">
        <f>L4*Calculadora!$C$21*9%</f>
        <v>10080</v>
      </c>
      <c r="M11" s="34">
        <f>M4*Calculadora!$C$21*9%</f>
        <v>10080</v>
      </c>
      <c r="N11" s="42"/>
      <c r="O11" s="4">
        <f t="shared" si="4"/>
        <v>120960</v>
      </c>
    </row>
    <row r="12" spans="1:15" s="39" customFormat="1">
      <c r="A12" s="35" t="s">
        <v>47</v>
      </c>
      <c r="B12" s="36">
        <f t="shared" ref="B12" si="5">SUM(B6:B11)</f>
        <v>66355</v>
      </c>
      <c r="C12" s="36">
        <f t="shared" ref="C12:M12" si="6">SUM(C6:C11)</f>
        <v>66355</v>
      </c>
      <c r="D12" s="36">
        <f t="shared" si="6"/>
        <v>66355</v>
      </c>
      <c r="E12" s="36">
        <f t="shared" si="6"/>
        <v>66355</v>
      </c>
      <c r="F12" s="36">
        <f t="shared" si="6"/>
        <v>66355</v>
      </c>
      <c r="G12" s="36">
        <f t="shared" si="6"/>
        <v>66355</v>
      </c>
      <c r="H12" s="36">
        <f t="shared" si="6"/>
        <v>66355</v>
      </c>
      <c r="I12" s="36">
        <f t="shared" si="6"/>
        <v>66355</v>
      </c>
      <c r="J12" s="36">
        <f t="shared" si="6"/>
        <v>66355</v>
      </c>
      <c r="K12" s="36">
        <f t="shared" si="6"/>
        <v>66355</v>
      </c>
      <c r="L12" s="36">
        <f t="shared" si="6"/>
        <v>66355</v>
      </c>
      <c r="M12" s="36">
        <f t="shared" si="6"/>
        <v>66355</v>
      </c>
      <c r="N12" s="43"/>
      <c r="O12" s="46">
        <f>SUM(B12:M12)</f>
        <v>796260</v>
      </c>
    </row>
    <row r="14" spans="1:15">
      <c r="A14" s="283" t="s">
        <v>135</v>
      </c>
      <c r="B14" s="283"/>
      <c r="C14" s="283"/>
      <c r="D14" s="283"/>
      <c r="E14" s="283"/>
      <c r="F14" s="283"/>
      <c r="G14" s="283"/>
      <c r="H14" s="283"/>
      <c r="I14" s="283"/>
      <c r="J14" s="283"/>
      <c r="K14" s="283"/>
      <c r="L14" s="283"/>
      <c r="M14" s="283"/>
      <c r="N14" s="283"/>
      <c r="O14" s="283"/>
    </row>
    <row r="15" spans="1:15">
      <c r="A15" s="283"/>
      <c r="B15" s="283"/>
      <c r="C15" s="283"/>
      <c r="D15" s="283"/>
      <c r="E15" s="283"/>
      <c r="F15" s="283"/>
      <c r="G15" s="283"/>
      <c r="H15" s="283"/>
      <c r="I15" s="283"/>
      <c r="J15" s="283"/>
      <c r="K15" s="283"/>
      <c r="L15" s="283"/>
      <c r="M15" s="283"/>
      <c r="N15" s="283"/>
      <c r="O15" s="283"/>
    </row>
    <row r="16" spans="1:15">
      <c r="A16" s="32" t="s">
        <v>136</v>
      </c>
      <c r="B16" s="33" t="s">
        <v>25</v>
      </c>
      <c r="C16" s="33" t="s">
        <v>26</v>
      </c>
      <c r="D16" s="33" t="s">
        <v>27</v>
      </c>
      <c r="E16" s="33" t="s">
        <v>28</v>
      </c>
      <c r="F16" s="33" t="s">
        <v>29</v>
      </c>
      <c r="G16" s="33" t="s">
        <v>30</v>
      </c>
      <c r="H16" s="33" t="s">
        <v>31</v>
      </c>
      <c r="I16" s="33" t="s">
        <v>32</v>
      </c>
      <c r="J16" s="33" t="s">
        <v>33</v>
      </c>
      <c r="K16" s="33" t="s">
        <v>34</v>
      </c>
      <c r="L16" s="33" t="s">
        <v>35</v>
      </c>
      <c r="M16" s="33" t="s">
        <v>36</v>
      </c>
      <c r="N16" s="41"/>
      <c r="O16" s="33" t="s">
        <v>37</v>
      </c>
    </row>
    <row r="17" spans="1:15">
      <c r="A17" s="34" t="s">
        <v>1</v>
      </c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42"/>
      <c r="O17" s="4"/>
    </row>
    <row r="18" spans="1:15">
      <c r="A18" s="34" t="s">
        <v>2</v>
      </c>
      <c r="B18" s="34">
        <f>Calculadora!$C$19*Calculadora!$T$6</f>
        <v>210000</v>
      </c>
      <c r="C18" s="34">
        <f>Calculadora!$C$19*Calculadora!$T$6</f>
        <v>210000</v>
      </c>
      <c r="D18" s="34">
        <f>Calculadora!$C$19*Calculadora!$T$6</f>
        <v>210000</v>
      </c>
      <c r="E18" s="34">
        <f>Calculadora!$C$19*Calculadora!$T$6</f>
        <v>210000</v>
      </c>
      <c r="F18" s="34">
        <f>Calculadora!$C$19*Calculadora!$T$6</f>
        <v>210000</v>
      </c>
      <c r="G18" s="34">
        <f>Calculadora!$C$19*Calculadora!$T$6</f>
        <v>210000</v>
      </c>
      <c r="H18" s="34">
        <f>Calculadora!$C$19*Calculadora!$T$6</f>
        <v>210000</v>
      </c>
      <c r="I18" s="34">
        <f>Calculadora!$C$19*Calculadora!$T$6</f>
        <v>210000</v>
      </c>
      <c r="J18" s="34">
        <f>Calculadora!$C$19*Calculadora!$T$6</f>
        <v>210000</v>
      </c>
      <c r="K18" s="34">
        <f>Calculadora!$C$19*Calculadora!$T$6</f>
        <v>210000</v>
      </c>
      <c r="L18" s="34">
        <f>Calculadora!$C$19*Calculadora!$T$6</f>
        <v>210000</v>
      </c>
      <c r="M18" s="34">
        <f>Calculadora!$C$19*Calculadora!$T$6</f>
        <v>210000</v>
      </c>
      <c r="N18" s="42"/>
      <c r="O18" s="4">
        <f>SUM(B18:M18)</f>
        <v>2520000</v>
      </c>
    </row>
    <row r="19" spans="1:15">
      <c r="A19" s="35" t="s">
        <v>0</v>
      </c>
      <c r="B19" s="36">
        <f>SUM(B17:B18)</f>
        <v>210000</v>
      </c>
      <c r="C19" s="36">
        <f t="shared" ref="C19:M19" si="7">SUM(C17:C18)</f>
        <v>210000</v>
      </c>
      <c r="D19" s="36">
        <f t="shared" si="7"/>
        <v>210000</v>
      </c>
      <c r="E19" s="36">
        <f t="shared" si="7"/>
        <v>210000</v>
      </c>
      <c r="F19" s="36">
        <f t="shared" si="7"/>
        <v>210000</v>
      </c>
      <c r="G19" s="36">
        <f t="shared" si="7"/>
        <v>210000</v>
      </c>
      <c r="H19" s="36">
        <f t="shared" si="7"/>
        <v>210000</v>
      </c>
      <c r="I19" s="36">
        <f t="shared" si="7"/>
        <v>210000</v>
      </c>
      <c r="J19" s="36">
        <f t="shared" si="7"/>
        <v>210000</v>
      </c>
      <c r="K19" s="36">
        <f t="shared" si="7"/>
        <v>210000</v>
      </c>
      <c r="L19" s="36">
        <f t="shared" si="7"/>
        <v>210000</v>
      </c>
      <c r="M19" s="36">
        <f t="shared" si="7"/>
        <v>210000</v>
      </c>
      <c r="N19" s="43"/>
      <c r="O19" s="44">
        <f>O18</f>
        <v>2520000</v>
      </c>
    </row>
    <row r="20" spans="1:15">
      <c r="A20" s="37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12"/>
      <c r="O20" s="45"/>
    </row>
    <row r="21" spans="1:15">
      <c r="A21" s="38" t="s">
        <v>40</v>
      </c>
      <c r="B21" s="34">
        <f>B19*0.65%</f>
        <v>1365.0000000000002</v>
      </c>
      <c r="C21" s="34">
        <f t="shared" ref="C21:M21" si="8">C19*0.65%</f>
        <v>1365.0000000000002</v>
      </c>
      <c r="D21" s="34">
        <f t="shared" si="8"/>
        <v>1365.0000000000002</v>
      </c>
      <c r="E21" s="34">
        <f t="shared" si="8"/>
        <v>1365.0000000000002</v>
      </c>
      <c r="F21" s="34">
        <f t="shared" si="8"/>
        <v>1365.0000000000002</v>
      </c>
      <c r="G21" s="34">
        <f t="shared" si="8"/>
        <v>1365.0000000000002</v>
      </c>
      <c r="H21" s="34">
        <f t="shared" si="8"/>
        <v>1365.0000000000002</v>
      </c>
      <c r="I21" s="34">
        <f t="shared" si="8"/>
        <v>1365.0000000000002</v>
      </c>
      <c r="J21" s="34">
        <f t="shared" si="8"/>
        <v>1365.0000000000002</v>
      </c>
      <c r="K21" s="34">
        <f t="shared" si="8"/>
        <v>1365.0000000000002</v>
      </c>
      <c r="L21" s="34">
        <f t="shared" si="8"/>
        <v>1365.0000000000002</v>
      </c>
      <c r="M21" s="34">
        <f t="shared" si="8"/>
        <v>1365.0000000000002</v>
      </c>
      <c r="N21" s="42"/>
      <c r="O21" s="4">
        <f>SUM(B21:M21)</f>
        <v>16380.000000000002</v>
      </c>
    </row>
    <row r="22" spans="1:15">
      <c r="A22" s="38" t="s">
        <v>41</v>
      </c>
      <c r="B22" s="34">
        <f>B19*3%</f>
        <v>6300</v>
      </c>
      <c r="C22" s="34">
        <f t="shared" ref="C22:M22" si="9">C19*3%</f>
        <v>6300</v>
      </c>
      <c r="D22" s="34">
        <f t="shared" si="9"/>
        <v>6300</v>
      </c>
      <c r="E22" s="34">
        <f t="shared" si="9"/>
        <v>6300</v>
      </c>
      <c r="F22" s="34">
        <f t="shared" si="9"/>
        <v>6300</v>
      </c>
      <c r="G22" s="34">
        <f t="shared" si="9"/>
        <v>6300</v>
      </c>
      <c r="H22" s="34">
        <f t="shared" si="9"/>
        <v>6300</v>
      </c>
      <c r="I22" s="34">
        <f t="shared" si="9"/>
        <v>6300</v>
      </c>
      <c r="J22" s="34">
        <f t="shared" si="9"/>
        <v>6300</v>
      </c>
      <c r="K22" s="34">
        <f t="shared" si="9"/>
        <v>6300</v>
      </c>
      <c r="L22" s="34">
        <f t="shared" si="9"/>
        <v>6300</v>
      </c>
      <c r="M22" s="34">
        <f t="shared" si="9"/>
        <v>6300</v>
      </c>
      <c r="N22" s="42"/>
      <c r="O22" s="4">
        <f t="shared" ref="O22:O26" si="10">SUM(B22:M22)</f>
        <v>75600</v>
      </c>
    </row>
    <row r="23" spans="1:15">
      <c r="A23" s="38" t="s">
        <v>42</v>
      </c>
      <c r="B23" s="34">
        <f>B19*Calculadora!$C$22</f>
        <v>10500</v>
      </c>
      <c r="C23" s="34">
        <f>C19*Calculadora!$C$22</f>
        <v>10500</v>
      </c>
      <c r="D23" s="34">
        <f>D19*Calculadora!$C$22</f>
        <v>10500</v>
      </c>
      <c r="E23" s="34">
        <f>E19*Calculadora!$C$22</f>
        <v>10500</v>
      </c>
      <c r="F23" s="34">
        <f>F19*Calculadora!$C$22</f>
        <v>10500</v>
      </c>
      <c r="G23" s="34">
        <f>G19*Calculadora!$C$22</f>
        <v>10500</v>
      </c>
      <c r="H23" s="34">
        <f>H19*Calculadora!$C$22</f>
        <v>10500</v>
      </c>
      <c r="I23" s="34">
        <f>I19*Calculadora!$C$22</f>
        <v>10500</v>
      </c>
      <c r="J23" s="34">
        <f>J19*Calculadora!$C$22</f>
        <v>10500</v>
      </c>
      <c r="K23" s="34">
        <f>K19*Calculadora!$C$22</f>
        <v>10500</v>
      </c>
      <c r="L23" s="34">
        <f>L19*Calculadora!$C$22</f>
        <v>10500</v>
      </c>
      <c r="M23" s="34">
        <f>M19*Calculadora!$C$22</f>
        <v>10500</v>
      </c>
      <c r="N23" s="42"/>
      <c r="O23" s="4">
        <f t="shared" si="10"/>
        <v>126000</v>
      </c>
    </row>
    <row r="24" spans="1:15">
      <c r="A24" s="38" t="s">
        <v>43</v>
      </c>
      <c r="B24" s="34">
        <f>B19*8%*15%</f>
        <v>2520</v>
      </c>
      <c r="C24" s="34">
        <f t="shared" ref="C24:M24" si="11">C19*8%*15%</f>
        <v>2520</v>
      </c>
      <c r="D24" s="34">
        <f t="shared" si="11"/>
        <v>2520</v>
      </c>
      <c r="E24" s="34">
        <f t="shared" si="11"/>
        <v>2520</v>
      </c>
      <c r="F24" s="34">
        <f t="shared" si="11"/>
        <v>2520</v>
      </c>
      <c r="G24" s="34">
        <f t="shared" si="11"/>
        <v>2520</v>
      </c>
      <c r="H24" s="34">
        <f t="shared" si="11"/>
        <v>2520</v>
      </c>
      <c r="I24" s="34">
        <f t="shared" si="11"/>
        <v>2520</v>
      </c>
      <c r="J24" s="34">
        <f t="shared" si="11"/>
        <v>2520</v>
      </c>
      <c r="K24" s="34">
        <f t="shared" si="11"/>
        <v>2520</v>
      </c>
      <c r="L24" s="34">
        <f t="shared" si="11"/>
        <v>2520</v>
      </c>
      <c r="M24" s="34">
        <f t="shared" si="11"/>
        <v>2520</v>
      </c>
      <c r="N24" s="42"/>
      <c r="O24" s="4">
        <f t="shared" si="10"/>
        <v>30240</v>
      </c>
    </row>
    <row r="25" spans="1:15">
      <c r="A25" s="38" t="s">
        <v>45</v>
      </c>
      <c r="B25" s="34">
        <f>IF((B19*8%)&gt;20000,((('Lucro Presumido'!B19*8%)-20000)*10%),0)</f>
        <v>0</v>
      </c>
      <c r="C25" s="34">
        <f>IF((C19*8%)&gt;20000,((('Lucro Presumido'!C19*8%)-20000)*10%),0)</f>
        <v>0</v>
      </c>
      <c r="D25" s="34">
        <f>IF((D19*8%)&gt;20000,((('Lucro Presumido'!D19*8%)-20000)*10%),0)</f>
        <v>0</v>
      </c>
      <c r="E25" s="34">
        <f>IF((E19*8%)&gt;20000,((('Lucro Presumido'!E19*8%)-20000)*10%),0)</f>
        <v>0</v>
      </c>
      <c r="F25" s="34">
        <f>IF((F19*8%)&gt;20000,((('Lucro Presumido'!F19*8%)-20000)*10%),0)</f>
        <v>0</v>
      </c>
      <c r="G25" s="34">
        <f>IF((G19*8%)&gt;20000,((('Lucro Presumido'!G19*8%)-20000)*10%),0)</f>
        <v>0</v>
      </c>
      <c r="H25" s="34">
        <f>IF((H19*8%)&gt;20000,((('Lucro Presumido'!H19*8%)-20000)*10%),0)</f>
        <v>0</v>
      </c>
      <c r="I25" s="34">
        <f>IF((I19*8%)&gt;20000,((('Lucro Presumido'!I19*8%)-20000)*10%),0)</f>
        <v>0</v>
      </c>
      <c r="J25" s="34">
        <f>IF((J19*8%)&gt;20000,((('Lucro Presumido'!J19*8%)-20000)*10%),0)</f>
        <v>0</v>
      </c>
      <c r="K25" s="34">
        <f>IF((K19*8%)&gt;20000,((('Lucro Presumido'!K19*8%)-20000)*10%),0)</f>
        <v>0</v>
      </c>
      <c r="L25" s="34">
        <f>IF((L19*8%)&gt;20000,((('Lucro Presumido'!L19*8%)-20000)*10%),0)</f>
        <v>0</v>
      </c>
      <c r="M25" s="34">
        <f>IF((M19*8%)&gt;20000,((('Lucro Presumido'!M19*8%)-20000)*10%),0)</f>
        <v>0</v>
      </c>
      <c r="N25" s="42"/>
      <c r="O25" s="4">
        <f t="shared" si="10"/>
        <v>0</v>
      </c>
    </row>
    <row r="26" spans="1:15">
      <c r="A26" s="38" t="s">
        <v>46</v>
      </c>
      <c r="B26" s="34">
        <f>B19*12%*9%</f>
        <v>2268</v>
      </c>
      <c r="C26" s="34">
        <f t="shared" ref="C26:M26" si="12">C19*12%*9%</f>
        <v>2268</v>
      </c>
      <c r="D26" s="34">
        <f t="shared" si="12"/>
        <v>2268</v>
      </c>
      <c r="E26" s="34">
        <f t="shared" si="12"/>
        <v>2268</v>
      </c>
      <c r="F26" s="34">
        <f t="shared" si="12"/>
        <v>2268</v>
      </c>
      <c r="G26" s="34">
        <f t="shared" si="12"/>
        <v>2268</v>
      </c>
      <c r="H26" s="34">
        <f t="shared" si="12"/>
        <v>2268</v>
      </c>
      <c r="I26" s="34">
        <f t="shared" si="12"/>
        <v>2268</v>
      </c>
      <c r="J26" s="34">
        <f t="shared" si="12"/>
        <v>2268</v>
      </c>
      <c r="K26" s="34">
        <f t="shared" si="12"/>
        <v>2268</v>
      </c>
      <c r="L26" s="34">
        <f t="shared" si="12"/>
        <v>2268</v>
      </c>
      <c r="M26" s="34">
        <f t="shared" si="12"/>
        <v>2268</v>
      </c>
      <c r="N26" s="42"/>
      <c r="O26" s="4">
        <f t="shared" si="10"/>
        <v>27216</v>
      </c>
    </row>
    <row r="27" spans="1:15">
      <c r="A27" s="35" t="s">
        <v>47</v>
      </c>
      <c r="B27" s="36">
        <f t="shared" ref="B27" si="13">SUM(B21:B26)</f>
        <v>22953</v>
      </c>
      <c r="C27" s="36">
        <f t="shared" ref="C27:M27" si="14">SUM(C21:C26)</f>
        <v>22953</v>
      </c>
      <c r="D27" s="36">
        <f t="shared" si="14"/>
        <v>22953</v>
      </c>
      <c r="E27" s="36">
        <f t="shared" si="14"/>
        <v>22953</v>
      </c>
      <c r="F27" s="36">
        <f t="shared" si="14"/>
        <v>22953</v>
      </c>
      <c r="G27" s="36">
        <f t="shared" si="14"/>
        <v>22953</v>
      </c>
      <c r="H27" s="36">
        <f t="shared" si="14"/>
        <v>22953</v>
      </c>
      <c r="I27" s="36">
        <f t="shared" si="14"/>
        <v>22953</v>
      </c>
      <c r="J27" s="36">
        <f t="shared" si="14"/>
        <v>22953</v>
      </c>
      <c r="K27" s="36">
        <f t="shared" si="14"/>
        <v>22953</v>
      </c>
      <c r="L27" s="36">
        <f t="shared" si="14"/>
        <v>22953</v>
      </c>
      <c r="M27" s="36">
        <f t="shared" si="14"/>
        <v>22953</v>
      </c>
      <c r="N27" s="43"/>
      <c r="O27" s="46">
        <f>SUM(B27:M27)</f>
        <v>275436</v>
      </c>
    </row>
    <row r="29" spans="1:15">
      <c r="A29" s="32" t="s">
        <v>133</v>
      </c>
      <c r="B29" s="33" t="s">
        <v>25</v>
      </c>
      <c r="C29" s="33" t="s">
        <v>26</v>
      </c>
      <c r="D29" s="33" t="s">
        <v>27</v>
      </c>
      <c r="E29" s="33" t="s">
        <v>28</v>
      </c>
      <c r="F29" s="33" t="s">
        <v>29</v>
      </c>
      <c r="G29" s="33" t="s">
        <v>30</v>
      </c>
      <c r="H29" s="33" t="s">
        <v>31</v>
      </c>
      <c r="I29" s="33" t="s">
        <v>32</v>
      </c>
      <c r="J29" s="33" t="s">
        <v>33</v>
      </c>
      <c r="K29" s="33" t="s">
        <v>34</v>
      </c>
      <c r="L29" s="33" t="s">
        <v>35</v>
      </c>
      <c r="M29" s="33" t="s">
        <v>36</v>
      </c>
      <c r="N29" s="41"/>
      <c r="O29" s="33" t="s">
        <v>37</v>
      </c>
    </row>
    <row r="30" spans="1:15">
      <c r="A30" s="34" t="s">
        <v>1</v>
      </c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42"/>
      <c r="O30" s="4"/>
    </row>
    <row r="31" spans="1:15">
      <c r="A31" s="34" t="s">
        <v>2</v>
      </c>
      <c r="B31" s="34">
        <f>Calculadora!$C$19*Calculadora!$T$7</f>
        <v>140000</v>
      </c>
      <c r="C31" s="34">
        <f>Calculadora!$C$19*Calculadora!$T$7</f>
        <v>140000</v>
      </c>
      <c r="D31" s="34">
        <f>Calculadora!$C$19*Calculadora!$T$7</f>
        <v>140000</v>
      </c>
      <c r="E31" s="34">
        <f>Calculadora!$C$19*Calculadora!$T$7</f>
        <v>140000</v>
      </c>
      <c r="F31" s="34">
        <f>Calculadora!$C$19*Calculadora!$T$7</f>
        <v>140000</v>
      </c>
      <c r="G31" s="34">
        <f>Calculadora!$C$19*Calculadora!$T$7</f>
        <v>140000</v>
      </c>
      <c r="H31" s="34">
        <f>Calculadora!$C$19*Calculadora!$T$7</f>
        <v>140000</v>
      </c>
      <c r="I31" s="34">
        <f>Calculadora!$C$19*Calculadora!$T$7</f>
        <v>140000</v>
      </c>
      <c r="J31" s="34">
        <f>Calculadora!$C$19*Calculadora!$T$7</f>
        <v>140000</v>
      </c>
      <c r="K31" s="34">
        <f>Calculadora!$C$19*Calculadora!$T$7</f>
        <v>140000</v>
      </c>
      <c r="L31" s="34">
        <f>Calculadora!$C$19*Calculadora!$T$7</f>
        <v>140000</v>
      </c>
      <c r="M31" s="34">
        <f>Calculadora!$C$19*Calculadora!$T$7</f>
        <v>140000</v>
      </c>
      <c r="N31" s="42"/>
      <c r="O31" s="4">
        <f>SUM(B31:M31)</f>
        <v>1680000</v>
      </c>
    </row>
    <row r="32" spans="1:15">
      <c r="A32" s="35" t="s">
        <v>0</v>
      </c>
      <c r="B32" s="36">
        <f>SUM(B30:B31)</f>
        <v>140000</v>
      </c>
      <c r="C32" s="36">
        <f t="shared" ref="C32:M32" si="15">SUM(C30:C31)</f>
        <v>140000</v>
      </c>
      <c r="D32" s="36">
        <f t="shared" si="15"/>
        <v>140000</v>
      </c>
      <c r="E32" s="36">
        <f t="shared" si="15"/>
        <v>140000</v>
      </c>
      <c r="F32" s="36">
        <f t="shared" si="15"/>
        <v>140000</v>
      </c>
      <c r="G32" s="36">
        <f t="shared" si="15"/>
        <v>140000</v>
      </c>
      <c r="H32" s="36">
        <f t="shared" si="15"/>
        <v>140000</v>
      </c>
      <c r="I32" s="36">
        <f t="shared" si="15"/>
        <v>140000</v>
      </c>
      <c r="J32" s="36">
        <f t="shared" si="15"/>
        <v>140000</v>
      </c>
      <c r="K32" s="36">
        <f t="shared" si="15"/>
        <v>140000</v>
      </c>
      <c r="L32" s="36">
        <f t="shared" si="15"/>
        <v>140000</v>
      </c>
      <c r="M32" s="36">
        <f t="shared" si="15"/>
        <v>140000</v>
      </c>
      <c r="N32" s="43"/>
      <c r="O32" s="44">
        <f>O31</f>
        <v>1680000</v>
      </c>
    </row>
    <row r="33" spans="1:15">
      <c r="A33" s="37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12"/>
      <c r="O33" s="45"/>
    </row>
    <row r="34" spans="1:15">
      <c r="A34" s="38" t="s">
        <v>40</v>
      </c>
      <c r="B34" s="34">
        <f>B32*0.65%</f>
        <v>910.00000000000011</v>
      </c>
      <c r="C34" s="34">
        <f t="shared" ref="C34:M34" si="16">C32*0.65%</f>
        <v>910.00000000000011</v>
      </c>
      <c r="D34" s="34">
        <f t="shared" si="16"/>
        <v>910.00000000000011</v>
      </c>
      <c r="E34" s="34">
        <f t="shared" si="16"/>
        <v>910.00000000000011</v>
      </c>
      <c r="F34" s="34">
        <f t="shared" si="16"/>
        <v>910.00000000000011</v>
      </c>
      <c r="G34" s="34">
        <f t="shared" si="16"/>
        <v>910.00000000000011</v>
      </c>
      <c r="H34" s="34">
        <f t="shared" si="16"/>
        <v>910.00000000000011</v>
      </c>
      <c r="I34" s="34">
        <f t="shared" si="16"/>
        <v>910.00000000000011</v>
      </c>
      <c r="J34" s="34">
        <f t="shared" si="16"/>
        <v>910.00000000000011</v>
      </c>
      <c r="K34" s="34">
        <f t="shared" si="16"/>
        <v>910.00000000000011</v>
      </c>
      <c r="L34" s="34">
        <f t="shared" si="16"/>
        <v>910.00000000000011</v>
      </c>
      <c r="M34" s="34">
        <f t="shared" si="16"/>
        <v>910.00000000000011</v>
      </c>
      <c r="N34" s="42"/>
      <c r="O34" s="4">
        <f>SUM(B34:M34)</f>
        <v>10920.000000000002</v>
      </c>
    </row>
    <row r="35" spans="1:15">
      <c r="A35" s="38" t="s">
        <v>41</v>
      </c>
      <c r="B35" s="34">
        <f>B32*3%</f>
        <v>4200</v>
      </c>
      <c r="C35" s="34">
        <f t="shared" ref="C35:M35" si="17">C32*3%</f>
        <v>4200</v>
      </c>
      <c r="D35" s="34">
        <f t="shared" si="17"/>
        <v>4200</v>
      </c>
      <c r="E35" s="34">
        <f t="shared" si="17"/>
        <v>4200</v>
      </c>
      <c r="F35" s="34">
        <f t="shared" si="17"/>
        <v>4200</v>
      </c>
      <c r="G35" s="34">
        <f t="shared" si="17"/>
        <v>4200</v>
      </c>
      <c r="H35" s="34">
        <f t="shared" si="17"/>
        <v>4200</v>
      </c>
      <c r="I35" s="34">
        <f t="shared" si="17"/>
        <v>4200</v>
      </c>
      <c r="J35" s="34">
        <f t="shared" si="17"/>
        <v>4200</v>
      </c>
      <c r="K35" s="34">
        <f t="shared" si="17"/>
        <v>4200</v>
      </c>
      <c r="L35" s="34">
        <f t="shared" si="17"/>
        <v>4200</v>
      </c>
      <c r="M35" s="34">
        <f t="shared" si="17"/>
        <v>4200</v>
      </c>
      <c r="N35" s="42"/>
      <c r="O35" s="4">
        <f t="shared" ref="O35:O39" si="18">SUM(B35:M35)</f>
        <v>50400</v>
      </c>
    </row>
    <row r="36" spans="1:15">
      <c r="A36" s="38" t="s">
        <v>42</v>
      </c>
      <c r="B36" s="34">
        <f>B32*Calculadora!$C$22</f>
        <v>7000</v>
      </c>
      <c r="C36" s="34">
        <f>C32*Calculadora!$C$22</f>
        <v>7000</v>
      </c>
      <c r="D36" s="34">
        <f>D32*Calculadora!$C$22</f>
        <v>7000</v>
      </c>
      <c r="E36" s="34">
        <f>E32*Calculadora!$C$22</f>
        <v>7000</v>
      </c>
      <c r="F36" s="34">
        <f>F32*Calculadora!$C$22</f>
        <v>7000</v>
      </c>
      <c r="G36" s="34">
        <f>G32*Calculadora!$C$22</f>
        <v>7000</v>
      </c>
      <c r="H36" s="34">
        <f>H32*Calculadora!$C$22</f>
        <v>7000</v>
      </c>
      <c r="I36" s="34">
        <f>I32*Calculadora!$C$22</f>
        <v>7000</v>
      </c>
      <c r="J36" s="34">
        <f>J32*Calculadora!$C$22</f>
        <v>7000</v>
      </c>
      <c r="K36" s="34">
        <f>K32*Calculadora!$C$22</f>
        <v>7000</v>
      </c>
      <c r="L36" s="34">
        <f>L32*Calculadora!$C$22</f>
        <v>7000</v>
      </c>
      <c r="M36" s="34">
        <f>M32*Calculadora!$C$22</f>
        <v>7000</v>
      </c>
      <c r="N36" s="42"/>
      <c r="O36" s="4">
        <f t="shared" si="18"/>
        <v>84000</v>
      </c>
    </row>
    <row r="37" spans="1:15">
      <c r="A37" s="38" t="s">
        <v>43</v>
      </c>
      <c r="B37" s="34">
        <f>B32*32%*15%</f>
        <v>6720</v>
      </c>
      <c r="C37" s="34">
        <f t="shared" ref="C37:M37" si="19">C32*32%*15%</f>
        <v>6720</v>
      </c>
      <c r="D37" s="34">
        <f t="shared" si="19"/>
        <v>6720</v>
      </c>
      <c r="E37" s="34">
        <f t="shared" si="19"/>
        <v>6720</v>
      </c>
      <c r="F37" s="34">
        <f t="shared" si="19"/>
        <v>6720</v>
      </c>
      <c r="G37" s="34">
        <f t="shared" si="19"/>
        <v>6720</v>
      </c>
      <c r="H37" s="34">
        <f t="shared" si="19"/>
        <v>6720</v>
      </c>
      <c r="I37" s="34">
        <f t="shared" si="19"/>
        <v>6720</v>
      </c>
      <c r="J37" s="34">
        <f t="shared" si="19"/>
        <v>6720</v>
      </c>
      <c r="K37" s="34">
        <f t="shared" si="19"/>
        <v>6720</v>
      </c>
      <c r="L37" s="34">
        <f t="shared" si="19"/>
        <v>6720</v>
      </c>
      <c r="M37" s="34">
        <f t="shared" si="19"/>
        <v>6720</v>
      </c>
      <c r="N37" s="42"/>
      <c r="O37" s="4">
        <f t="shared" si="18"/>
        <v>80640</v>
      </c>
    </row>
    <row r="38" spans="1:15">
      <c r="A38" s="38" t="s">
        <v>45</v>
      </c>
      <c r="B38" s="34">
        <f>IF((B32*32%)&gt;20000,((('Lucro Presumido'!B32*32%)-20000)*10%),0)</f>
        <v>2480</v>
      </c>
      <c r="C38" s="34">
        <f>IF((C32*32%)&gt;20000,((('Lucro Presumido'!C32*32%)-20000)*10%),0)</f>
        <v>2480</v>
      </c>
      <c r="D38" s="34">
        <f>IF((D32*32%)&gt;20000,((('Lucro Presumido'!D32*32%)-20000)*10%),0)</f>
        <v>2480</v>
      </c>
      <c r="E38" s="34">
        <f>IF((E32*32%)&gt;20000,((('Lucro Presumido'!E32*32%)-20000)*10%),0)</f>
        <v>2480</v>
      </c>
      <c r="F38" s="34">
        <f>IF((F32*32%)&gt;20000,((('Lucro Presumido'!F32*32%)-20000)*10%),0)</f>
        <v>2480</v>
      </c>
      <c r="G38" s="34">
        <f>IF((G32*32%)&gt;20000,((('Lucro Presumido'!G32*32%)-20000)*10%),0)</f>
        <v>2480</v>
      </c>
      <c r="H38" s="34">
        <f>IF((H32*32%)&gt;20000,((('Lucro Presumido'!H32*32%)-20000)*10%),0)</f>
        <v>2480</v>
      </c>
      <c r="I38" s="34">
        <f>IF((I32*32%)&gt;20000,((('Lucro Presumido'!I32*32%)-20000)*10%),0)</f>
        <v>2480</v>
      </c>
      <c r="J38" s="34">
        <f>IF((J32*32%)&gt;20000,((('Lucro Presumido'!J32*32%)-20000)*10%),0)</f>
        <v>2480</v>
      </c>
      <c r="K38" s="34">
        <f>IF((K32*32%)&gt;20000,((('Lucro Presumido'!K32*32%)-20000)*10%),0)</f>
        <v>2480</v>
      </c>
      <c r="L38" s="34">
        <f>IF((L32*32%)&gt;20000,((('Lucro Presumido'!L32*32%)-20000)*10%),0)</f>
        <v>2480</v>
      </c>
      <c r="M38" s="34">
        <f>IF((M32*32%)&gt;20000,((('Lucro Presumido'!M32*32%)-20000)*10%),0)</f>
        <v>2480</v>
      </c>
      <c r="N38" s="42"/>
      <c r="O38" s="4">
        <f t="shared" si="18"/>
        <v>29760</v>
      </c>
    </row>
    <row r="39" spans="1:15">
      <c r="A39" s="38" t="s">
        <v>46</v>
      </c>
      <c r="B39" s="34">
        <f>B32*32%*9%</f>
        <v>4032</v>
      </c>
      <c r="C39" s="34">
        <f t="shared" ref="C39:M39" si="20">C32*32%*9%</f>
        <v>4032</v>
      </c>
      <c r="D39" s="34">
        <f t="shared" si="20"/>
        <v>4032</v>
      </c>
      <c r="E39" s="34">
        <f t="shared" si="20"/>
        <v>4032</v>
      </c>
      <c r="F39" s="34">
        <f t="shared" si="20"/>
        <v>4032</v>
      </c>
      <c r="G39" s="34">
        <f t="shared" si="20"/>
        <v>4032</v>
      </c>
      <c r="H39" s="34">
        <f t="shared" si="20"/>
        <v>4032</v>
      </c>
      <c r="I39" s="34">
        <f t="shared" si="20"/>
        <v>4032</v>
      </c>
      <c r="J39" s="34">
        <f t="shared" si="20"/>
        <v>4032</v>
      </c>
      <c r="K39" s="34">
        <f t="shared" si="20"/>
        <v>4032</v>
      </c>
      <c r="L39" s="34">
        <f t="shared" si="20"/>
        <v>4032</v>
      </c>
      <c r="M39" s="34">
        <f t="shared" si="20"/>
        <v>4032</v>
      </c>
      <c r="N39" s="42"/>
      <c r="O39" s="4">
        <f t="shared" si="18"/>
        <v>48384</v>
      </c>
    </row>
    <row r="40" spans="1:15">
      <c r="A40" s="35" t="s">
        <v>47</v>
      </c>
      <c r="B40" s="36">
        <f t="shared" ref="B40" si="21">SUM(B34:B39)</f>
        <v>25342</v>
      </c>
      <c r="C40" s="36">
        <f t="shared" ref="C40:M40" si="22">SUM(C34:C39)</f>
        <v>25342</v>
      </c>
      <c r="D40" s="36">
        <f t="shared" si="22"/>
        <v>25342</v>
      </c>
      <c r="E40" s="36">
        <f t="shared" si="22"/>
        <v>25342</v>
      </c>
      <c r="F40" s="36">
        <f t="shared" si="22"/>
        <v>25342</v>
      </c>
      <c r="G40" s="36">
        <f t="shared" si="22"/>
        <v>25342</v>
      </c>
      <c r="H40" s="36">
        <f t="shared" si="22"/>
        <v>25342</v>
      </c>
      <c r="I40" s="36">
        <f t="shared" si="22"/>
        <v>25342</v>
      </c>
      <c r="J40" s="36">
        <f t="shared" si="22"/>
        <v>25342</v>
      </c>
      <c r="K40" s="36">
        <f t="shared" si="22"/>
        <v>25342</v>
      </c>
      <c r="L40" s="36">
        <f t="shared" si="22"/>
        <v>25342</v>
      </c>
      <c r="M40" s="36">
        <f t="shared" si="22"/>
        <v>25342</v>
      </c>
      <c r="N40" s="43"/>
      <c r="O40" s="46">
        <f>SUM(B40:M40)</f>
        <v>304104</v>
      </c>
    </row>
  </sheetData>
  <mergeCells count="1">
    <mergeCell ref="A14:O15"/>
  </mergeCells>
  <phoneticPr fontId="13" type="noConversion"/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90E041-8C9E-4658-87A4-B13D8F608115}">
  <dimension ref="A2:D22"/>
  <sheetViews>
    <sheetView showGridLines="0" topLeftCell="A18" workbookViewId="0">
      <selection activeCell="C20" sqref="C20"/>
    </sheetView>
  </sheetViews>
  <sheetFormatPr defaultColWidth="0" defaultRowHeight="14.4"/>
  <cols>
    <col min="1" max="1" width="9.109375" customWidth="1"/>
    <col min="2" max="2" width="38.88671875" style="48" bestFit="1" customWidth="1"/>
    <col min="3" max="3" width="16" style="47" bestFit="1" customWidth="1"/>
    <col min="4" max="4" width="9.109375" customWidth="1"/>
    <col min="5" max="16384" width="9.109375" hidden="1"/>
  </cols>
  <sheetData>
    <row r="2" spans="2:3" ht="18">
      <c r="B2" s="49" t="s">
        <v>50</v>
      </c>
      <c r="C2" s="50">
        <f>'ANEXO 3'!O11</f>
        <v>738000</v>
      </c>
    </row>
    <row r="3" spans="2:3" ht="18">
      <c r="B3" s="49" t="s">
        <v>51</v>
      </c>
      <c r="C3" s="50">
        <f>'ANEXO 5'!O11</f>
        <v>741000</v>
      </c>
    </row>
    <row r="4" spans="2:3">
      <c r="B4" s="48">
        <v>0</v>
      </c>
      <c r="C4" s="47">
        <v>0</v>
      </c>
    </row>
    <row r="6" spans="2:3">
      <c r="B6" s="51" t="s">
        <v>40</v>
      </c>
      <c r="C6" s="47">
        <f>'Lucro Presumido'!O6</f>
        <v>27300</v>
      </c>
    </row>
    <row r="7" spans="2:3">
      <c r="B7" s="51" t="s">
        <v>41</v>
      </c>
      <c r="C7" s="47">
        <f>'Lucro Presumido'!O7</f>
        <v>126000</v>
      </c>
    </row>
    <row r="8" spans="2:3">
      <c r="B8" s="51" t="s">
        <v>42</v>
      </c>
      <c r="C8" s="47">
        <f>'Lucro Presumido'!O8</f>
        <v>210000</v>
      </c>
    </row>
    <row r="9" spans="2:3">
      <c r="B9" s="51" t="s">
        <v>43</v>
      </c>
      <c r="C9" s="47">
        <f>'Lucro Presumido'!O9</f>
        <v>201600</v>
      </c>
    </row>
    <row r="10" spans="2:3">
      <c r="B10" s="51" t="s">
        <v>45</v>
      </c>
      <c r="C10" s="47">
        <f>'Lucro Presumido'!O10</f>
        <v>110400</v>
      </c>
    </row>
    <row r="11" spans="2:3">
      <c r="B11" s="51" t="s">
        <v>46</v>
      </c>
      <c r="C11" s="47">
        <f>'Lucro Presumido'!O11</f>
        <v>120960</v>
      </c>
    </row>
    <row r="12" spans="2:3" ht="18">
      <c r="B12" s="49" t="s">
        <v>53</v>
      </c>
      <c r="C12" s="50">
        <f>'Lucro Presumido'!O12</f>
        <v>796260</v>
      </c>
    </row>
    <row r="14" spans="2:3">
      <c r="B14" s="51" t="s">
        <v>40</v>
      </c>
      <c r="C14" s="47">
        <f>SUM('Lucro Presumido'!O21+'Lucro Presumido'!O34)</f>
        <v>27300.000000000004</v>
      </c>
    </row>
    <row r="15" spans="2:3">
      <c r="B15" s="51" t="s">
        <v>41</v>
      </c>
      <c r="C15" s="47">
        <f>SUM('Lucro Presumido'!O22,'Lucro Presumido'!O35)</f>
        <v>126000</v>
      </c>
    </row>
    <row r="16" spans="2:3">
      <c r="B16" s="51" t="s">
        <v>42</v>
      </c>
      <c r="C16" s="47">
        <f>SUM('Lucro Presumido'!O23,'Lucro Presumido'!O36)</f>
        <v>210000</v>
      </c>
    </row>
    <row r="17" spans="2:3">
      <c r="B17" s="51" t="s">
        <v>43</v>
      </c>
      <c r="C17" s="47">
        <f>SUM('Lucro Presumido'!O24,'Lucro Presumido'!O37)</f>
        <v>110880</v>
      </c>
    </row>
    <row r="18" spans="2:3">
      <c r="B18" s="51" t="s">
        <v>45</v>
      </c>
      <c r="C18" s="47">
        <f>SUM('Lucro Presumido'!O25,'Lucro Presumido'!O38)</f>
        <v>29760</v>
      </c>
    </row>
    <row r="19" spans="2:3">
      <c r="B19" s="51" t="s">
        <v>46</v>
      </c>
      <c r="C19" s="47">
        <f>SUM('Lucro Presumido'!O26,'Lucro Presumido'!O39)</f>
        <v>75600</v>
      </c>
    </row>
    <row r="20" spans="2:3" ht="18">
      <c r="B20" s="49" t="s">
        <v>137</v>
      </c>
      <c r="C20" s="50">
        <f>SUM('Lucro Presumido'!O27,'Lucro Presumido'!O40)</f>
        <v>579540</v>
      </c>
    </row>
    <row r="22" spans="2:3" ht="18">
      <c r="B22" s="49" t="s">
        <v>76</v>
      </c>
      <c r="C22" s="50">
        <f>'Carnê Leão'!B12</f>
        <v>93349.697700000019</v>
      </c>
    </row>
  </sheetData>
  <phoneticPr fontId="13" type="noConversion"/>
  <pageMargins left="0.511811024" right="0.511811024" top="0.78740157499999996" bottom="0.78740157499999996" header="0.31496062000000002" footer="0.31496062000000002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E13034-41BD-418E-9723-62BF00197F87}">
  <sheetPr>
    <pageSetUpPr fitToPage="1"/>
  </sheetPr>
  <dimension ref="A1:XFC43"/>
  <sheetViews>
    <sheetView showGridLines="0" showRowColHeaders="0" topLeftCell="A3" zoomScale="70" zoomScaleNormal="70" workbookViewId="0">
      <selection activeCell="B31" sqref="B31"/>
    </sheetView>
  </sheetViews>
  <sheetFormatPr defaultColWidth="0" defaultRowHeight="14.4" zeroHeight="1"/>
  <cols>
    <col min="1" max="1" width="5.6640625" customWidth="1"/>
    <col min="2" max="3" width="17.109375" customWidth="1"/>
    <col min="4" max="4" width="3.109375" customWidth="1"/>
    <col min="5" max="6" width="17.109375" customWidth="1"/>
    <col min="7" max="7" width="3.109375" customWidth="1"/>
    <col min="8" max="9" width="17.109375" customWidth="1"/>
    <col min="10" max="10" width="3.109375" customWidth="1"/>
    <col min="11" max="12" width="17.109375" customWidth="1"/>
    <col min="13" max="13" width="3.109375" customWidth="1"/>
    <col min="14" max="14" width="14.33203125" customWidth="1"/>
    <col min="15" max="15" width="3.5546875" customWidth="1"/>
    <col min="16" max="16" width="17.109375" customWidth="1"/>
    <col min="17" max="17" width="3.109375" customWidth="1"/>
    <col min="18" max="19" width="17.109375" customWidth="1"/>
    <col min="20" max="20" width="3.109375" style="53" customWidth="1"/>
    <col min="21" max="22" width="17.109375" style="53" customWidth="1"/>
    <col min="23" max="23" width="5.6640625" customWidth="1"/>
    <col min="24" max="27" width="2.6640625" hidden="1"/>
    <col min="28" max="28" width="0.109375" hidden="1" customWidth="1"/>
    <col min="29" max="393" width="0" hidden="1" customWidth="1"/>
    <col min="394" max="16380" width="2.6640625" hidden="1" customWidth="1"/>
    <col min="16381" max="16381" width="4.33203125" hidden="1" customWidth="1"/>
    <col min="16382" max="16382" width="3.6640625" hidden="1" customWidth="1"/>
    <col min="16383" max="16383" width="8.33203125" hidden="1" customWidth="1"/>
    <col min="16384" max="16384" width="17.44140625" hidden="1" customWidth="1"/>
  </cols>
  <sheetData>
    <row r="1" spans="1:25" s="56" customFormat="1" ht="90" customHeight="1">
      <c r="A1" s="241"/>
      <c r="B1" s="241"/>
      <c r="C1" s="241"/>
      <c r="D1" s="241"/>
      <c r="E1" s="241"/>
      <c r="F1" s="241"/>
      <c r="G1" s="241"/>
      <c r="H1" s="241"/>
      <c r="I1" s="241"/>
      <c r="J1" s="241"/>
      <c r="K1" s="241"/>
      <c r="L1" s="241"/>
      <c r="M1" s="241"/>
      <c r="N1" s="241"/>
      <c r="O1" s="241"/>
      <c r="P1" s="241"/>
      <c r="Q1" s="241"/>
      <c r="R1" s="241"/>
      <c r="S1" s="241"/>
      <c r="T1" s="222"/>
      <c r="U1" s="222"/>
      <c r="V1" s="202"/>
      <c r="W1" s="202"/>
    </row>
    <row r="2" spans="1:25" s="56" customFormat="1" ht="90" customHeight="1">
      <c r="A2" s="241"/>
      <c r="B2" s="241"/>
      <c r="C2" s="241"/>
      <c r="D2" s="241"/>
      <c r="E2" s="241"/>
      <c r="F2" s="241"/>
      <c r="G2" s="241"/>
      <c r="H2" s="241"/>
      <c r="I2" s="241"/>
      <c r="J2" s="241"/>
      <c r="K2" s="241"/>
      <c r="L2" s="241"/>
      <c r="M2" s="241"/>
      <c r="N2" s="241"/>
      <c r="O2" s="241"/>
      <c r="P2" s="241"/>
      <c r="Q2" s="241"/>
      <c r="R2" s="241"/>
      <c r="S2" s="241"/>
      <c r="T2" s="222"/>
      <c r="U2" s="222"/>
      <c r="V2" s="202"/>
      <c r="W2" s="202"/>
    </row>
    <row r="3" spans="1:25" s="56" customFormat="1" ht="18.75" customHeight="1">
      <c r="A3" s="206"/>
      <c r="B3" s="212"/>
      <c r="C3" s="212"/>
      <c r="D3" s="213"/>
      <c r="E3" s="213"/>
      <c r="F3" s="213"/>
      <c r="G3" s="213"/>
      <c r="H3" s="213"/>
      <c r="I3" s="213"/>
      <c r="J3" s="213"/>
      <c r="K3" s="213"/>
      <c r="L3" s="215"/>
      <c r="M3" s="215"/>
      <c r="N3" s="217"/>
      <c r="O3" s="216"/>
      <c r="P3" s="216"/>
      <c r="Q3" s="216"/>
      <c r="R3" s="217"/>
      <c r="S3" s="216"/>
      <c r="T3" s="214"/>
      <c r="U3" s="270"/>
      <c r="V3" s="270"/>
      <c r="W3" s="270"/>
      <c r="X3" s="58"/>
      <c r="Y3" s="58"/>
    </row>
    <row r="4" spans="1:25" s="59" customFormat="1" ht="27.75" customHeight="1">
      <c r="A4" s="208"/>
      <c r="B4" s="296" t="s">
        <v>96</v>
      </c>
      <c r="C4" s="296"/>
      <c r="D4" s="296"/>
      <c r="E4" s="296"/>
      <c r="F4" s="296"/>
      <c r="G4" s="218"/>
      <c r="H4" s="305" t="s">
        <v>78</v>
      </c>
      <c r="I4" s="305"/>
      <c r="J4" s="218"/>
      <c r="K4" s="306" t="s">
        <v>116</v>
      </c>
      <c r="L4" s="306"/>
      <c r="M4" s="219"/>
      <c r="N4" s="297" t="s">
        <v>130</v>
      </c>
      <c r="O4" s="297"/>
      <c r="P4" s="297"/>
      <c r="Q4" s="220"/>
      <c r="R4" s="297" t="s">
        <v>129</v>
      </c>
      <c r="S4" s="297"/>
      <c r="T4" s="220"/>
      <c r="U4" s="271"/>
      <c r="V4" s="271"/>
      <c r="W4" s="271"/>
    </row>
    <row r="5" spans="1:25" s="181" customFormat="1" ht="36.75" customHeight="1">
      <c r="A5" s="209"/>
      <c r="B5" s="298">
        <v>30000</v>
      </c>
      <c r="C5" s="298"/>
      <c r="D5" s="298"/>
      <c r="E5" s="298"/>
      <c r="F5" s="298"/>
      <c r="G5" s="221"/>
      <c r="H5" s="298">
        <v>3600</v>
      </c>
      <c r="I5" s="298"/>
      <c r="J5" s="221"/>
      <c r="K5" s="298">
        <f>Calculadora!L4</f>
        <v>1518</v>
      </c>
      <c r="L5" s="298"/>
      <c r="M5" s="221"/>
      <c r="N5" s="298">
        <v>1518</v>
      </c>
      <c r="O5" s="298"/>
      <c r="P5" s="298"/>
      <c r="Q5" s="221"/>
      <c r="R5" s="295">
        <v>1518</v>
      </c>
      <c r="S5" s="295"/>
      <c r="T5" s="221"/>
      <c r="U5" s="272"/>
      <c r="V5" s="273"/>
      <c r="W5" s="273"/>
    </row>
    <row r="6" spans="1:25" s="59" customFormat="1" ht="22.5" customHeight="1">
      <c r="A6" s="210"/>
      <c r="B6" s="211"/>
      <c r="C6" s="211"/>
      <c r="D6" s="211"/>
      <c r="E6" s="211"/>
      <c r="F6" s="211"/>
      <c r="G6" s="207"/>
      <c r="H6" s="207"/>
      <c r="I6" s="207"/>
      <c r="J6" s="207"/>
      <c r="K6" s="207"/>
      <c r="L6" s="211"/>
      <c r="M6" s="206"/>
      <c r="N6" s="206"/>
      <c r="O6" s="206"/>
      <c r="P6" s="206"/>
      <c r="Q6" s="206"/>
      <c r="R6" s="206"/>
      <c r="S6" s="304"/>
      <c r="T6" s="304"/>
      <c r="U6" s="271"/>
      <c r="V6" s="271"/>
      <c r="W6" s="271"/>
    </row>
    <row r="7" spans="1:25" s="202" customFormat="1" ht="39.9" customHeight="1">
      <c r="J7" s="203"/>
      <c r="Q7" s="204"/>
      <c r="R7" s="204"/>
      <c r="S7" s="204"/>
      <c r="T7" s="204"/>
    </row>
    <row r="8" spans="1:25" s="198" customFormat="1" ht="12" customHeight="1">
      <c r="B8" s="301"/>
      <c r="C8" s="301"/>
      <c r="D8" s="301"/>
      <c r="E8" s="301"/>
      <c r="F8" s="301"/>
      <c r="H8" s="307"/>
      <c r="I8" s="307"/>
      <c r="J8" s="307"/>
      <c r="K8" s="307"/>
      <c r="L8" s="307"/>
      <c r="M8" s="307"/>
      <c r="N8" s="307"/>
      <c r="O8" s="307"/>
      <c r="P8" s="307"/>
      <c r="Q8" s="307"/>
      <c r="R8" s="307"/>
      <c r="S8" s="307"/>
      <c r="T8" s="205"/>
    </row>
    <row r="9" spans="1:25" s="198" customFormat="1" ht="12" customHeight="1">
      <c r="B9" s="301"/>
      <c r="C9" s="301"/>
      <c r="D9" s="301"/>
      <c r="E9" s="301"/>
      <c r="F9" s="301"/>
      <c r="H9" s="307"/>
      <c r="I9" s="307"/>
      <c r="J9" s="307"/>
      <c r="K9" s="307"/>
      <c r="L9" s="307"/>
      <c r="M9" s="307"/>
      <c r="N9" s="307"/>
      <c r="O9" s="307"/>
      <c r="P9" s="307"/>
      <c r="Q9" s="307"/>
      <c r="R9" s="307"/>
      <c r="S9" s="307"/>
      <c r="T9" s="205"/>
    </row>
    <row r="10" spans="1:25" s="198" customFormat="1" ht="12" customHeight="1">
      <c r="B10" s="301"/>
      <c r="C10" s="301"/>
      <c r="D10" s="301"/>
      <c r="E10" s="301"/>
      <c r="F10" s="301"/>
      <c r="H10" s="307"/>
      <c r="I10" s="307"/>
      <c r="J10" s="307"/>
      <c r="K10" s="307"/>
      <c r="L10" s="307"/>
      <c r="M10" s="307"/>
      <c r="N10" s="307"/>
      <c r="O10" s="307"/>
      <c r="P10" s="307"/>
      <c r="Q10" s="307"/>
      <c r="R10" s="307"/>
      <c r="S10" s="307"/>
      <c r="T10" s="205"/>
    </row>
    <row r="11" spans="1:25" s="198" customFormat="1" ht="9.9" customHeight="1"/>
    <row r="12" spans="1:25" s="199" customFormat="1" ht="18" customHeight="1">
      <c r="B12" s="300"/>
      <c r="C12" s="300"/>
      <c r="D12" s="200"/>
      <c r="E12" s="299"/>
      <c r="F12" s="299"/>
      <c r="G12" s="200"/>
      <c r="H12" s="299"/>
      <c r="I12" s="299"/>
      <c r="J12" s="200"/>
      <c r="K12" s="299"/>
      <c r="L12" s="300"/>
      <c r="M12" s="201"/>
      <c r="N12" s="299"/>
      <c r="O12" s="299"/>
      <c r="P12" s="300"/>
      <c r="Q12" s="200"/>
      <c r="R12" s="299" t="s">
        <v>91</v>
      </c>
      <c r="S12" s="300"/>
    </row>
    <row r="13" spans="1:25" s="199" customFormat="1" ht="18" customHeight="1">
      <c r="B13" s="300"/>
      <c r="C13" s="300"/>
      <c r="D13" s="200"/>
      <c r="E13" s="299"/>
      <c r="F13" s="299"/>
      <c r="G13" s="200"/>
      <c r="H13" s="299"/>
      <c r="I13" s="299"/>
      <c r="J13" s="200"/>
      <c r="K13" s="300"/>
      <c r="L13" s="300"/>
      <c r="M13" s="201"/>
      <c r="N13" s="300"/>
      <c r="O13" s="300"/>
      <c r="P13" s="300"/>
      <c r="Q13" s="200"/>
      <c r="R13" s="300"/>
      <c r="S13" s="300"/>
    </row>
    <row r="14" spans="1:25" s="198" customFormat="1"/>
    <row r="15" spans="1:25" s="198" customFormat="1"/>
    <row r="16" spans="1:25" s="199" customFormat="1" ht="23.4">
      <c r="A16" s="223"/>
      <c r="B16" s="242" t="s">
        <v>102</v>
      </c>
      <c r="C16" s="243"/>
      <c r="D16" s="242"/>
      <c r="E16" s="242" t="s">
        <v>103</v>
      </c>
      <c r="F16" s="243"/>
      <c r="G16" s="242"/>
      <c r="H16" s="242" t="s">
        <v>97</v>
      </c>
      <c r="I16" s="243"/>
      <c r="J16" s="242"/>
      <c r="K16" s="242" t="s">
        <v>97</v>
      </c>
      <c r="L16" s="242"/>
      <c r="M16" s="242"/>
      <c r="N16" s="242" t="s">
        <v>100</v>
      </c>
      <c r="O16" s="242"/>
      <c r="P16" s="242"/>
      <c r="Q16" s="242"/>
      <c r="R16" s="242" t="s">
        <v>100</v>
      </c>
      <c r="S16" s="242"/>
      <c r="T16" s="242"/>
      <c r="U16" s="242" t="s">
        <v>100</v>
      </c>
      <c r="V16" s="242"/>
    </row>
    <row r="17" spans="1:22" s="224" customFormat="1" ht="23.4">
      <c r="B17" s="286">
        <f>Calculadora!F25</f>
        <v>93349.697700000019</v>
      </c>
      <c r="C17" s="287"/>
      <c r="D17" s="247"/>
      <c r="E17" s="286">
        <v>0</v>
      </c>
      <c r="F17" s="287"/>
      <c r="G17" s="247"/>
      <c r="H17" s="286">
        <f>Calculadora!L25</f>
        <v>61500</v>
      </c>
      <c r="I17" s="287"/>
      <c r="J17" s="247"/>
      <c r="K17" s="286">
        <f>Calculadora!O25</f>
        <v>61750</v>
      </c>
      <c r="L17" s="287"/>
      <c r="M17" s="247"/>
      <c r="N17" s="286">
        <f>Calculadora!R25</f>
        <v>66355</v>
      </c>
      <c r="O17" s="286"/>
      <c r="P17" s="287"/>
      <c r="Q17" s="247"/>
      <c r="R17" s="286">
        <f>Calculadora!U25</f>
        <v>48899.16</v>
      </c>
      <c r="S17" s="287"/>
      <c r="U17" s="286">
        <f>Calculadora!X38</f>
        <v>48295</v>
      </c>
      <c r="V17" s="287"/>
    </row>
    <row r="18" spans="1:22" s="198" customFormat="1"/>
    <row r="19" spans="1:22" s="223" customFormat="1" ht="23.4">
      <c r="A19" s="233"/>
      <c r="B19" s="242" t="s">
        <v>98</v>
      </c>
      <c r="C19" s="242"/>
      <c r="D19" s="242"/>
      <c r="E19" s="242" t="s">
        <v>104</v>
      </c>
      <c r="F19" s="242"/>
      <c r="G19" s="242"/>
      <c r="H19" s="242" t="s">
        <v>98</v>
      </c>
      <c r="I19" s="242"/>
      <c r="J19" s="242"/>
      <c r="K19" s="242" t="s">
        <v>98</v>
      </c>
      <c r="L19" s="242"/>
      <c r="M19" s="242"/>
      <c r="N19" s="242" t="s">
        <v>98</v>
      </c>
      <c r="O19" s="242"/>
      <c r="P19" s="242"/>
      <c r="Q19" s="242"/>
      <c r="R19" s="242" t="s">
        <v>98</v>
      </c>
      <c r="S19" s="242"/>
      <c r="T19" s="242"/>
      <c r="U19" s="242" t="s">
        <v>98</v>
      </c>
      <c r="V19" s="242"/>
    </row>
    <row r="20" spans="1:22" s="268" customFormat="1" ht="18">
      <c r="A20" s="234"/>
      <c r="B20" s="288">
        <f>Calculadora!F32</f>
        <v>1631.482</v>
      </c>
      <c r="C20" s="288"/>
      <c r="D20" s="246"/>
      <c r="E20" s="303">
        <f>Calculadora!I27</f>
        <v>951.62</v>
      </c>
      <c r="F20" s="303"/>
      <c r="G20" s="246"/>
      <c r="H20" s="288">
        <f>SUM(Calculadora!L27:L28)</f>
        <v>166.98</v>
      </c>
      <c r="I20" s="288"/>
      <c r="J20" s="245"/>
      <c r="K20" s="288">
        <f>SUM(Calculadora!O27:O28)</f>
        <v>166.98</v>
      </c>
      <c r="L20" s="288"/>
      <c r="M20" s="245"/>
      <c r="N20" s="288">
        <f>SUM(Calculadora!R27:R28)</f>
        <v>470.58000000000004</v>
      </c>
      <c r="O20" s="288"/>
      <c r="P20" s="288"/>
      <c r="Q20" s="245"/>
      <c r="R20" s="288">
        <f>SUM(Calculadora!U27:U28)</f>
        <v>470.58000000000004</v>
      </c>
      <c r="S20" s="288"/>
      <c r="T20" s="234"/>
      <c r="U20" s="288">
        <f>SUM(Calculadora!X27,Calculadora!X28)</f>
        <v>470.58000000000004</v>
      </c>
      <c r="V20" s="288"/>
    </row>
    <row r="21" spans="1:22" s="198" customFormat="1"/>
    <row r="22" spans="1:22" s="233" customFormat="1" ht="23.4">
      <c r="B22" s="242" t="s">
        <v>99</v>
      </c>
      <c r="C22" s="242"/>
      <c r="D22" s="242"/>
      <c r="E22" s="242" t="s">
        <v>105</v>
      </c>
      <c r="F22" s="242"/>
      <c r="G22" s="242"/>
      <c r="H22" s="242" t="s">
        <v>99</v>
      </c>
      <c r="I22" s="242"/>
      <c r="J22" s="242"/>
      <c r="K22" s="242" t="s">
        <v>99</v>
      </c>
      <c r="L22" s="242"/>
      <c r="M22" s="242"/>
      <c r="N22" s="242" t="s">
        <v>99</v>
      </c>
      <c r="O22" s="242"/>
      <c r="P22" s="242"/>
      <c r="Q22" s="242"/>
      <c r="R22" s="242" t="s">
        <v>99</v>
      </c>
      <c r="S22" s="242"/>
      <c r="T22" s="242"/>
      <c r="U22" s="242" t="s">
        <v>99</v>
      </c>
      <c r="V22" s="242"/>
    </row>
    <row r="23" spans="1:22" s="269" customFormat="1" ht="18">
      <c r="A23" s="235"/>
      <c r="B23" s="289">
        <v>0</v>
      </c>
      <c r="C23" s="290"/>
      <c r="D23" s="248"/>
      <c r="E23" s="289">
        <f>Calculadora!I32</f>
        <v>95092.304500000013</v>
      </c>
      <c r="F23" s="290"/>
      <c r="G23" s="248"/>
      <c r="H23" s="289">
        <f>SUM(Calculadora!L32)</f>
        <v>0</v>
      </c>
      <c r="I23" s="290"/>
      <c r="J23" s="248"/>
      <c r="K23" s="289">
        <f>Calculadora!O32</f>
        <v>0</v>
      </c>
      <c r="L23" s="290"/>
      <c r="M23" s="248"/>
      <c r="N23" s="289">
        <f>Calculadora!R32</f>
        <v>0</v>
      </c>
      <c r="O23" s="289"/>
      <c r="P23" s="290"/>
      <c r="Q23" s="248"/>
      <c r="R23" s="289">
        <f>Calculadora!U32</f>
        <v>0</v>
      </c>
      <c r="S23" s="290"/>
      <c r="T23" s="235"/>
      <c r="U23" s="289">
        <f>Calculadora!X32</f>
        <v>0</v>
      </c>
      <c r="V23" s="290"/>
    </row>
    <row r="24" spans="1:22" s="198" customFormat="1"/>
    <row r="25" spans="1:22" s="236" customFormat="1" ht="21">
      <c r="B25" s="242" t="s">
        <v>117</v>
      </c>
      <c r="C25" s="242"/>
      <c r="D25" s="242"/>
      <c r="E25" s="242" t="s">
        <v>117</v>
      </c>
      <c r="F25" s="242"/>
      <c r="G25" s="242"/>
      <c r="H25" s="242" t="s">
        <v>117</v>
      </c>
      <c r="I25" s="242"/>
      <c r="J25" s="242"/>
      <c r="K25" s="242" t="s">
        <v>117</v>
      </c>
      <c r="L25" s="242"/>
      <c r="M25" s="242"/>
      <c r="N25" s="242" t="s">
        <v>117</v>
      </c>
      <c r="O25" s="242"/>
      <c r="P25" s="242"/>
      <c r="Q25" s="242"/>
      <c r="R25" s="242" t="s">
        <v>117</v>
      </c>
      <c r="S25" s="242"/>
      <c r="T25" s="242"/>
      <c r="U25" s="242" t="s">
        <v>117</v>
      </c>
      <c r="V25" s="242"/>
    </row>
    <row r="26" spans="1:22" s="269" customFormat="1" ht="18">
      <c r="A26" s="235"/>
      <c r="B26" s="291">
        <f>(Calculadora!L4*Calculadora!T4)+Calculadora!L6</f>
        <v>538.8900000000001</v>
      </c>
      <c r="C26" s="291"/>
      <c r="D26" s="248"/>
      <c r="E26" s="291">
        <v>0</v>
      </c>
      <c r="F26" s="291"/>
      <c r="G26" s="248"/>
      <c r="H26" s="291">
        <f>Calculadora!L6</f>
        <v>121.44</v>
      </c>
      <c r="I26" s="291"/>
      <c r="J26" s="248"/>
      <c r="K26" s="291">
        <f>Calculadora!L6</f>
        <v>121.44</v>
      </c>
      <c r="L26" s="291"/>
      <c r="M26" s="248"/>
      <c r="N26" s="291">
        <f>(Calculadora!L4*Calculadora!T4)+Calculadora!L6</f>
        <v>538.8900000000001</v>
      </c>
      <c r="O26" s="291"/>
      <c r="P26" s="291"/>
      <c r="Q26" s="248"/>
      <c r="R26" s="291">
        <f>(Calculadora!L4*Calculadora!T4)+Calculadora!L6</f>
        <v>538.8900000000001</v>
      </c>
      <c r="S26" s="291"/>
      <c r="T26" s="235"/>
      <c r="U26" s="291">
        <f>(Calculadora!L4*Calculadora!T4)+Calculadora!L6</f>
        <v>538.8900000000001</v>
      </c>
      <c r="V26" s="291"/>
    </row>
    <row r="27" spans="1:22" s="198" customFormat="1"/>
    <row r="28" spans="1:22" s="198" customFormat="1"/>
    <row r="29" spans="1:22" s="225" customFormat="1" ht="23.4">
      <c r="B29" s="244" t="s">
        <v>106</v>
      </c>
      <c r="C29" s="253"/>
      <c r="D29" s="253"/>
      <c r="E29" s="244" t="s">
        <v>106</v>
      </c>
      <c r="F29" s="253"/>
      <c r="G29" s="253"/>
      <c r="H29" s="244" t="s">
        <v>106</v>
      </c>
      <c r="I29" s="253"/>
      <c r="J29" s="253"/>
      <c r="K29" s="244" t="s">
        <v>106</v>
      </c>
      <c r="L29" s="253"/>
      <c r="M29" s="253"/>
      <c r="N29" s="244" t="s">
        <v>106</v>
      </c>
      <c r="O29" s="244"/>
      <c r="P29" s="253"/>
      <c r="Q29" s="253"/>
      <c r="R29" s="244" t="s">
        <v>106</v>
      </c>
      <c r="S29" s="253"/>
      <c r="T29" s="228"/>
      <c r="U29" s="244" t="s">
        <v>106</v>
      </c>
      <c r="V29" s="253"/>
    </row>
    <row r="30" spans="1:22" s="226" customFormat="1" ht="23.4">
      <c r="B30" s="292">
        <f>B17+B20+B23+B26</f>
        <v>95520.069700000022</v>
      </c>
      <c r="C30" s="293"/>
      <c r="D30" s="238"/>
      <c r="E30" s="292">
        <f>E17+E20+E23+E26</f>
        <v>96043.924500000008</v>
      </c>
      <c r="F30" s="293"/>
      <c r="G30" s="238"/>
      <c r="H30" s="292">
        <f>H17+H20+H23+H26</f>
        <v>61788.420000000006</v>
      </c>
      <c r="I30" s="293"/>
      <c r="J30" s="238"/>
      <c r="K30" s="292">
        <f>K17+K20+K23+K26</f>
        <v>62038.420000000006</v>
      </c>
      <c r="L30" s="293"/>
      <c r="M30" s="238"/>
      <c r="N30" s="302">
        <f>N17+N20+N23+N26</f>
        <v>67364.47</v>
      </c>
      <c r="O30" s="302"/>
      <c r="P30" s="302"/>
      <c r="Q30" s="238"/>
      <c r="R30" s="292">
        <f>R17+R20+R23+R26</f>
        <v>49908.630000000005</v>
      </c>
      <c r="S30" s="293"/>
      <c r="U30" s="292">
        <f>U17+U20+U23+U26</f>
        <v>49304.47</v>
      </c>
      <c r="V30" s="293"/>
    </row>
    <row r="31" spans="1:22" s="198" customFormat="1" ht="9.75" customHeight="1">
      <c r="B31" s="239"/>
      <c r="E31" s="239"/>
      <c r="H31" s="239"/>
      <c r="K31" s="239"/>
      <c r="N31" s="239"/>
      <c r="O31" s="239"/>
      <c r="R31" s="239"/>
      <c r="U31" s="239"/>
    </row>
    <row r="32" spans="1:22" s="227" customFormat="1" ht="20.25" customHeight="1">
      <c r="B32" s="249" t="s">
        <v>110</v>
      </c>
      <c r="C32" s="250">
        <f>B17/B5</f>
        <v>3.1116565900000008</v>
      </c>
      <c r="D32" s="251"/>
      <c r="E32" s="249" t="s">
        <v>110</v>
      </c>
      <c r="F32" s="250">
        <f>E23/B5</f>
        <v>3.1697434833333338</v>
      </c>
      <c r="G32" s="251"/>
      <c r="H32" s="249" t="s">
        <v>112</v>
      </c>
      <c r="I32" s="250">
        <f>H17/B5</f>
        <v>2.0499999999999998</v>
      </c>
      <c r="J32" s="251"/>
      <c r="K32" s="249" t="s">
        <v>112</v>
      </c>
      <c r="L32" s="250">
        <f>K17/B5</f>
        <v>2.0583333333333331</v>
      </c>
      <c r="M32" s="251"/>
      <c r="N32" s="249" t="s">
        <v>115</v>
      </c>
      <c r="O32" s="249"/>
      <c r="P32" s="250">
        <f>N17/B5</f>
        <v>2.2118333333333333</v>
      </c>
      <c r="Q32" s="251"/>
      <c r="R32" s="249" t="s">
        <v>115</v>
      </c>
      <c r="S32" s="250">
        <f>R17/B5</f>
        <v>1.6299720000000002</v>
      </c>
      <c r="U32" s="249" t="s">
        <v>115</v>
      </c>
      <c r="V32" s="250">
        <f>U17/B5</f>
        <v>1.6098333333333332</v>
      </c>
    </row>
    <row r="33" spans="1:22" s="227" customFormat="1" ht="20.25" customHeight="1">
      <c r="B33" s="249" t="s">
        <v>111</v>
      </c>
      <c r="C33" s="250">
        <f>(B20+B23+B26)/B5</f>
        <v>7.2345733333333342E-2</v>
      </c>
      <c r="D33" s="251"/>
      <c r="E33" s="249" t="s">
        <v>111</v>
      </c>
      <c r="F33" s="250">
        <f>E20/B5</f>
        <v>3.1720666666666668E-2</v>
      </c>
      <c r="G33" s="251"/>
      <c r="H33" s="249" t="s">
        <v>113</v>
      </c>
      <c r="I33" s="250">
        <f>(H23+H20+H26)/$B$5</f>
        <v>9.6139999999999993E-3</v>
      </c>
      <c r="J33" s="251"/>
      <c r="K33" s="249" t="s">
        <v>113</v>
      </c>
      <c r="L33" s="250">
        <f>(K23+K20+K26)/$B$5</f>
        <v>9.6139999999999993E-3</v>
      </c>
      <c r="M33" s="251"/>
      <c r="N33" s="249" t="s">
        <v>113</v>
      </c>
      <c r="O33" s="249"/>
      <c r="P33" s="250">
        <f>(N23+N20+N26)/$B$5</f>
        <v>3.3649000000000005E-2</v>
      </c>
      <c r="Q33" s="251"/>
      <c r="R33" s="249" t="s">
        <v>113</v>
      </c>
      <c r="S33" s="250">
        <f>(R23+R20+R26)/$B$5</f>
        <v>3.3649000000000005E-2</v>
      </c>
      <c r="U33" s="249" t="s">
        <v>113</v>
      </c>
      <c r="V33" s="250">
        <f>(U23+U20+U26)/$B$5</f>
        <v>3.3649000000000005E-2</v>
      </c>
    </row>
    <row r="34" spans="1:22" s="198" customFormat="1" ht="9.75" customHeight="1">
      <c r="B34" s="252"/>
      <c r="C34" s="252"/>
      <c r="D34" s="252"/>
      <c r="E34" s="252"/>
      <c r="F34" s="252"/>
      <c r="G34" s="252"/>
      <c r="H34" s="252"/>
      <c r="I34" s="252"/>
      <c r="J34" s="252"/>
      <c r="K34" s="252"/>
      <c r="L34" s="252"/>
      <c r="M34" s="252"/>
      <c r="N34" s="252"/>
      <c r="O34" s="252"/>
      <c r="P34" s="252"/>
      <c r="Q34" s="252"/>
      <c r="R34" s="252"/>
      <c r="S34" s="252"/>
      <c r="U34" s="252"/>
      <c r="V34" s="252"/>
    </row>
    <row r="35" spans="1:22" s="228" customFormat="1" ht="21">
      <c r="B35" s="284" t="s">
        <v>101</v>
      </c>
      <c r="C35" s="284"/>
      <c r="D35" s="237"/>
      <c r="E35" s="284" t="s">
        <v>101</v>
      </c>
      <c r="F35" s="284"/>
      <c r="G35" s="237"/>
      <c r="H35" s="284" t="s">
        <v>101</v>
      </c>
      <c r="I35" s="284"/>
      <c r="J35" s="237"/>
      <c r="K35" s="284" t="s">
        <v>101</v>
      </c>
      <c r="L35" s="284"/>
      <c r="M35" s="237"/>
      <c r="N35" s="284" t="s">
        <v>101</v>
      </c>
      <c r="O35" s="284"/>
      <c r="P35" s="284"/>
      <c r="Q35" s="237"/>
      <c r="R35" s="284" t="s">
        <v>101</v>
      </c>
      <c r="S35" s="284"/>
      <c r="T35" s="237"/>
      <c r="U35" s="284" t="s">
        <v>101</v>
      </c>
      <c r="V35" s="284"/>
    </row>
    <row r="36" spans="1:22" s="229" customFormat="1" ht="25.8">
      <c r="B36" s="285">
        <f>B30/B5</f>
        <v>3.1840023233333339</v>
      </c>
      <c r="C36" s="285"/>
      <c r="E36" s="285">
        <f>E30/B5</f>
        <v>3.2014641500000001</v>
      </c>
      <c r="F36" s="285"/>
      <c r="H36" s="285">
        <f>H30/B5</f>
        <v>2.0596140000000003</v>
      </c>
      <c r="I36" s="285"/>
      <c r="K36" s="285">
        <f>K30/B5</f>
        <v>2.0679473333333336</v>
      </c>
      <c r="L36" s="285"/>
      <c r="N36" s="285">
        <f>N30/B5</f>
        <v>2.2454823333333334</v>
      </c>
      <c r="O36" s="285"/>
      <c r="P36" s="285"/>
      <c r="R36" s="285">
        <f>R30/B5</f>
        <v>1.6636210000000002</v>
      </c>
      <c r="S36" s="285"/>
      <c r="U36" s="285">
        <f>U30/B5</f>
        <v>1.6434823333333333</v>
      </c>
      <c r="V36" s="285"/>
    </row>
    <row r="37" spans="1:22" s="198" customFormat="1">
      <c r="H37" s="230"/>
      <c r="I37" s="231"/>
    </row>
    <row r="38" spans="1:22" s="198" customFormat="1" ht="15" customHeight="1">
      <c r="H38" s="294" t="str">
        <f>Calculadora!K14</f>
        <v>DESCONSIDERE O CÁLCULO DO ANEXO 3, VOCÊ NÃO ATINGIU O FATOR R</v>
      </c>
      <c r="I38" s="294"/>
    </row>
    <row r="39" spans="1:22" s="198" customFormat="1">
      <c r="H39" s="294"/>
      <c r="I39" s="294"/>
      <c r="R39" s="232"/>
    </row>
    <row r="40" spans="1:22" s="198" customFormat="1">
      <c r="H40" s="294"/>
      <c r="I40" s="294"/>
    </row>
    <row r="41" spans="1:22" s="198" customFormat="1" ht="39.9" customHeight="1">
      <c r="H41" s="240"/>
      <c r="I41" s="240"/>
    </row>
    <row r="42" spans="1:22" s="198" customFormat="1" ht="110.1" customHeight="1">
      <c r="H42" s="240"/>
      <c r="I42" s="240"/>
    </row>
    <row r="43" spans="1:22" ht="15" hidden="1" customHeight="1">
      <c r="A43" s="198"/>
      <c r="B43" s="198"/>
      <c r="C43" s="198"/>
      <c r="D43" s="198"/>
      <c r="E43" s="198"/>
      <c r="F43" s="198"/>
      <c r="G43" s="198"/>
      <c r="H43" s="198"/>
      <c r="I43" s="198"/>
      <c r="J43" s="198"/>
      <c r="K43" s="198"/>
      <c r="L43" s="198"/>
      <c r="M43" s="198"/>
      <c r="N43" s="198"/>
      <c r="O43" s="198"/>
      <c r="P43" s="198"/>
      <c r="Q43" s="198"/>
      <c r="R43" s="198"/>
      <c r="S43" s="198"/>
      <c r="T43" s="198"/>
    </row>
  </sheetData>
  <mergeCells count="69">
    <mergeCell ref="S6:T6"/>
    <mergeCell ref="H36:I36"/>
    <mergeCell ref="H5:I5"/>
    <mergeCell ref="H4:I4"/>
    <mergeCell ref="K5:L5"/>
    <mergeCell ref="K4:L4"/>
    <mergeCell ref="K36:L36"/>
    <mergeCell ref="K12:L13"/>
    <mergeCell ref="H8:S10"/>
    <mergeCell ref="B30:C30"/>
    <mergeCell ref="B36:C36"/>
    <mergeCell ref="R12:S13"/>
    <mergeCell ref="H12:I13"/>
    <mergeCell ref="H30:I30"/>
    <mergeCell ref="B12:C13"/>
    <mergeCell ref="K20:L20"/>
    <mergeCell ref="H20:I20"/>
    <mergeCell ref="N20:P20"/>
    <mergeCell ref="B5:F5"/>
    <mergeCell ref="N30:P30"/>
    <mergeCell ref="N36:P36"/>
    <mergeCell ref="R30:S30"/>
    <mergeCell ref="R36:S36"/>
    <mergeCell ref="E17:F17"/>
    <mergeCell ref="E20:F20"/>
    <mergeCell ref="E23:F23"/>
    <mergeCell ref="E30:F30"/>
    <mergeCell ref="K30:L30"/>
    <mergeCell ref="H17:I17"/>
    <mergeCell ref="K17:L17"/>
    <mergeCell ref="R17:S17"/>
    <mergeCell ref="N23:P23"/>
    <mergeCell ref="R23:S23"/>
    <mergeCell ref="E36:F36"/>
    <mergeCell ref="B8:F10"/>
    <mergeCell ref="B17:C17"/>
    <mergeCell ref="B20:C20"/>
    <mergeCell ref="N26:P26"/>
    <mergeCell ref="K26:L26"/>
    <mergeCell ref="H26:I26"/>
    <mergeCell ref="E26:F26"/>
    <mergeCell ref="E12:F13"/>
    <mergeCell ref="H23:I23"/>
    <mergeCell ref="K23:L23"/>
    <mergeCell ref="N17:P17"/>
    <mergeCell ref="B23:C23"/>
    <mergeCell ref="H38:I40"/>
    <mergeCell ref="R5:S5"/>
    <mergeCell ref="B4:F4"/>
    <mergeCell ref="N4:P4"/>
    <mergeCell ref="R4:S4"/>
    <mergeCell ref="N5:P5"/>
    <mergeCell ref="E35:F35"/>
    <mergeCell ref="B35:C35"/>
    <mergeCell ref="K35:L35"/>
    <mergeCell ref="N35:P35"/>
    <mergeCell ref="R35:S35"/>
    <mergeCell ref="H35:I35"/>
    <mergeCell ref="R20:S20"/>
    <mergeCell ref="N12:P13"/>
    <mergeCell ref="B26:C26"/>
    <mergeCell ref="R26:S26"/>
    <mergeCell ref="U35:V35"/>
    <mergeCell ref="U36:V36"/>
    <mergeCell ref="U17:V17"/>
    <mergeCell ref="U20:V20"/>
    <mergeCell ref="U23:V23"/>
    <mergeCell ref="U26:V26"/>
    <mergeCell ref="U30:V30"/>
  </mergeCells>
  <pageMargins left="0.25" right="0.25" top="0.75" bottom="0.75" header="0.3" footer="0.3"/>
  <pageSetup paperSize="9" scale="59" fitToHeight="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90E642-51CE-408F-945E-D3CB7288F65E}">
  <sheetPr>
    <pageSetUpPr fitToPage="1"/>
  </sheetPr>
  <dimension ref="A1:AP64"/>
  <sheetViews>
    <sheetView showGridLines="0" tabSelected="1" zoomScale="60" zoomScaleNormal="60" workbookViewId="0">
      <selection sqref="A1:X2"/>
    </sheetView>
  </sheetViews>
  <sheetFormatPr defaultColWidth="9.109375" defaultRowHeight="0" customHeight="1" zeroHeight="1"/>
  <cols>
    <col min="1" max="1" width="6.44140625" style="56" customWidth="1"/>
    <col min="2" max="2" width="28.6640625" style="56" customWidth="1"/>
    <col min="3" max="3" width="22" style="56" customWidth="1"/>
    <col min="4" max="4" width="15.88671875" style="56" customWidth="1"/>
    <col min="5" max="5" width="29.109375" style="56" customWidth="1" collapsed="1"/>
    <col min="6" max="6" width="20.88671875" style="56" customWidth="1"/>
    <col min="7" max="7" width="1.88671875" style="56" customWidth="1"/>
    <col min="8" max="8" width="27.88671875" style="56" bestFit="1" customWidth="1"/>
    <col min="9" max="9" width="21.33203125" style="56" customWidth="1"/>
    <col min="10" max="10" width="2.6640625" style="56" customWidth="1"/>
    <col min="11" max="11" width="28.5546875" style="65" customWidth="1"/>
    <col min="12" max="12" width="24.88671875" style="65" bestFit="1" customWidth="1"/>
    <col min="13" max="13" width="4.33203125" style="56" customWidth="1"/>
    <col min="14" max="14" width="18.88671875" style="65" bestFit="1" customWidth="1"/>
    <col min="15" max="15" width="20.33203125" style="65" bestFit="1" customWidth="1"/>
    <col min="16" max="16" width="1.44140625" style="65" customWidth="1"/>
    <col min="17" max="17" width="21" style="65" bestFit="1" customWidth="1"/>
    <col min="18" max="18" width="30" style="65" customWidth="1"/>
    <col min="19" max="19" width="1.44140625" style="56" customWidth="1"/>
    <col min="20" max="20" width="21" style="56" bestFit="1" customWidth="1"/>
    <col min="21" max="21" width="20.88671875" style="56" customWidth="1"/>
    <col min="22" max="22" width="1.44140625" style="56" customWidth="1"/>
    <col min="23" max="23" width="17.5546875" style="56" customWidth="1"/>
    <col min="24" max="24" width="18.109375" style="56" customWidth="1"/>
    <col min="25" max="25" width="9.109375" style="56" customWidth="1"/>
    <col min="26" max="28" width="9.109375" style="56" hidden="1" customWidth="1"/>
    <col min="29" max="29" width="10.88671875" style="56" hidden="1" customWidth="1"/>
    <col min="30" max="31" width="9.109375" style="56" hidden="1" customWidth="1"/>
    <col min="32" max="34" width="0" style="56" hidden="1" customWidth="1"/>
    <col min="35" max="36" width="9.109375" style="56" hidden="1" customWidth="1"/>
    <col min="37" max="38" width="0" style="56" hidden="1" customWidth="1"/>
    <col min="39" max="39" width="11.33203125" style="56" bestFit="1" customWidth="1"/>
    <col min="40" max="41" width="10.44140625" style="56" bestFit="1" customWidth="1"/>
    <col min="42" max="42" width="15.109375" style="56" bestFit="1" customWidth="1"/>
    <col min="43" max="16384" width="9.109375" style="56"/>
  </cols>
  <sheetData>
    <row r="1" spans="1:31" ht="29.25" customHeight="1">
      <c r="A1" s="335" t="s">
        <v>79</v>
      </c>
      <c r="B1" s="335"/>
      <c r="C1" s="335"/>
      <c r="D1" s="335"/>
      <c r="E1" s="335"/>
      <c r="F1" s="335"/>
      <c r="G1" s="335"/>
      <c r="H1" s="335"/>
      <c r="I1" s="335"/>
      <c r="J1" s="335"/>
      <c r="K1" s="335"/>
      <c r="L1" s="335"/>
      <c r="M1" s="335"/>
      <c r="N1" s="335"/>
      <c r="O1" s="335"/>
      <c r="P1" s="335"/>
      <c r="Q1" s="335"/>
      <c r="R1" s="335"/>
      <c r="S1" s="335"/>
      <c r="T1" s="335"/>
      <c r="U1" s="335"/>
      <c r="V1" s="335"/>
      <c r="W1" s="335"/>
      <c r="X1" s="335"/>
    </row>
    <row r="2" spans="1:31" ht="29.25" customHeight="1">
      <c r="A2" s="335"/>
      <c r="B2" s="335"/>
      <c r="C2" s="335"/>
      <c r="D2" s="335"/>
      <c r="E2" s="335"/>
      <c r="F2" s="335"/>
      <c r="G2" s="335"/>
      <c r="H2" s="335"/>
      <c r="I2" s="335"/>
      <c r="J2" s="335"/>
      <c r="K2" s="335"/>
      <c r="L2" s="335"/>
      <c r="M2" s="335"/>
      <c r="N2" s="335"/>
      <c r="O2" s="335"/>
      <c r="P2" s="335"/>
      <c r="Q2" s="335"/>
      <c r="R2" s="335"/>
      <c r="S2" s="335"/>
      <c r="T2" s="335"/>
      <c r="U2" s="335"/>
      <c r="V2" s="335"/>
      <c r="W2" s="335"/>
      <c r="X2" s="335"/>
    </row>
    <row r="3" spans="1:31" ht="22.5" customHeight="1">
      <c r="A3" s="55"/>
      <c r="B3" s="55"/>
      <c r="C3" s="55"/>
      <c r="D3" s="55"/>
      <c r="E3" s="55"/>
      <c r="F3" s="55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8"/>
    </row>
    <row r="4" spans="1:31" s="59" customFormat="1" ht="45">
      <c r="A4" s="61"/>
      <c r="B4" s="132"/>
      <c r="C4" s="132"/>
      <c r="D4" s="132"/>
      <c r="E4" s="129" t="s">
        <v>94</v>
      </c>
      <c r="F4" s="129"/>
      <c r="G4" s="140"/>
      <c r="H4" s="142">
        <v>350000</v>
      </c>
      <c r="I4" s="175" t="s">
        <v>114</v>
      </c>
      <c r="J4" s="137"/>
      <c r="K4" s="141" t="s">
        <v>108</v>
      </c>
      <c r="L4" s="142">
        <v>1518</v>
      </c>
      <c r="M4" s="174" t="s">
        <v>114</v>
      </c>
      <c r="N4" s="60"/>
      <c r="O4" s="310" t="s">
        <v>42</v>
      </c>
      <c r="P4" s="311"/>
      <c r="Q4" s="145">
        <v>0.05</v>
      </c>
      <c r="R4" s="308" t="s">
        <v>118</v>
      </c>
      <c r="S4" s="309"/>
      <c r="T4" s="180">
        <v>0.27500000000000002</v>
      </c>
      <c r="U4" s="61"/>
      <c r="V4" s="61"/>
      <c r="W4" s="61"/>
      <c r="X4" s="61"/>
    </row>
    <row r="5" spans="1:31" s="59" customFormat="1" ht="23.25" customHeight="1" thickBot="1">
      <c r="A5" s="62"/>
      <c r="B5" s="132"/>
      <c r="C5" s="132"/>
      <c r="D5" s="132"/>
      <c r="E5" s="129"/>
      <c r="F5" s="129"/>
      <c r="G5" s="129"/>
      <c r="H5" s="129"/>
      <c r="I5" s="129"/>
      <c r="J5" s="129"/>
      <c r="K5" s="129"/>
      <c r="L5" s="129"/>
      <c r="M5" s="129"/>
      <c r="N5" s="60"/>
      <c r="O5" s="146"/>
      <c r="P5" s="146"/>
      <c r="Q5" s="60"/>
      <c r="R5" s="60"/>
      <c r="S5" s="61"/>
      <c r="T5" s="176"/>
      <c r="U5" s="61"/>
      <c r="V5" s="61"/>
      <c r="W5" s="61"/>
      <c r="X5" s="61"/>
    </row>
    <row r="6" spans="1:31" s="59" customFormat="1" ht="23.25" customHeight="1">
      <c r="A6" s="62"/>
      <c r="B6" s="132"/>
      <c r="C6" s="132"/>
      <c r="D6" s="132"/>
      <c r="E6" s="129" t="s">
        <v>78</v>
      </c>
      <c r="F6" s="129"/>
      <c r="G6" s="140"/>
      <c r="H6" s="142">
        <v>3600</v>
      </c>
      <c r="I6" s="174" t="s">
        <v>114</v>
      </c>
      <c r="J6" s="64"/>
      <c r="K6" s="139" t="s">
        <v>90</v>
      </c>
      <c r="L6" s="144">
        <f>L4*8%</f>
        <v>121.44</v>
      </c>
      <c r="M6" s="63"/>
      <c r="N6" s="64"/>
      <c r="O6" s="310" t="s">
        <v>82</v>
      </c>
      <c r="P6" s="311"/>
      <c r="Q6" s="261">
        <f>'ANEXO 3'!O14/12</f>
        <v>18757.5</v>
      </c>
      <c r="R6" s="262" t="s">
        <v>134</v>
      </c>
      <c r="S6" s="263"/>
      <c r="T6" s="264">
        <v>0.6</v>
      </c>
      <c r="U6" s="336" t="s">
        <v>138</v>
      </c>
      <c r="V6" s="61"/>
      <c r="W6" s="61"/>
      <c r="X6" s="61"/>
    </row>
    <row r="7" spans="1:31" s="59" customFormat="1" ht="23.25" customHeight="1" thickBot="1">
      <c r="A7" s="62"/>
      <c r="B7" s="132"/>
      <c r="C7" s="132"/>
      <c r="D7" s="132"/>
      <c r="E7" s="57"/>
      <c r="F7" s="57"/>
      <c r="G7" s="57"/>
      <c r="H7" s="57"/>
      <c r="I7" s="57"/>
      <c r="J7" s="61"/>
      <c r="K7" s="138" t="s">
        <v>71</v>
      </c>
      <c r="L7" s="61"/>
      <c r="M7" s="61"/>
      <c r="N7" s="61"/>
      <c r="O7" s="61"/>
      <c r="P7" s="61"/>
      <c r="Q7" s="61"/>
      <c r="R7" s="265" t="s">
        <v>133</v>
      </c>
      <c r="S7" s="266"/>
      <c r="T7" s="267">
        <v>0.4</v>
      </c>
      <c r="U7" s="337"/>
      <c r="V7" s="61"/>
      <c r="W7" s="61"/>
      <c r="X7" s="61"/>
    </row>
    <row r="8" spans="1:31" s="59" customFormat="1" ht="24" customHeight="1">
      <c r="A8" s="62"/>
      <c r="B8" s="132"/>
      <c r="C8" s="132"/>
      <c r="D8" s="132"/>
      <c r="E8" s="129" t="s">
        <v>120</v>
      </c>
      <c r="F8" s="132"/>
      <c r="G8" s="132"/>
      <c r="H8" s="142">
        <f>IF(Q9="não",C28*20%,0)</f>
        <v>1631.482</v>
      </c>
      <c r="I8" s="174" t="s">
        <v>114</v>
      </c>
      <c r="J8" s="132"/>
      <c r="K8" s="144">
        <f>IF((((((H4)*28%)-L4)-L6)-Q6)&lt;SUSPENSA!F2,SUSPENSA!F2,(((((H4)*28%)-L4)-L6)-Q6))</f>
        <v>77603.060000000012</v>
      </c>
      <c r="L8" s="143">
        <v>1518</v>
      </c>
      <c r="M8" s="174" t="s">
        <v>114</v>
      </c>
      <c r="N8" s="141"/>
      <c r="O8" s="141"/>
      <c r="P8" s="133" t="s">
        <v>92</v>
      </c>
      <c r="Q8" s="143">
        <v>1518</v>
      </c>
      <c r="R8" s="61"/>
      <c r="S8" s="61"/>
      <c r="T8" s="61"/>
      <c r="U8" s="61"/>
      <c r="V8" s="61"/>
      <c r="W8" s="61"/>
      <c r="X8" s="61"/>
    </row>
    <row r="9" spans="1:31" s="59" customFormat="1" ht="23.25" customHeight="1">
      <c r="A9" s="62"/>
      <c r="B9" s="132"/>
      <c r="C9" s="132"/>
      <c r="D9" s="132"/>
      <c r="E9" s="129" t="s">
        <v>121</v>
      </c>
      <c r="F9" s="132"/>
      <c r="G9" s="132"/>
      <c r="H9" s="142">
        <f>IF(Q9="não",(11%*SUSPENSA!F2),0)</f>
        <v>166.98</v>
      </c>
      <c r="I9" s="174" t="s">
        <v>114</v>
      </c>
      <c r="J9" s="129"/>
      <c r="K9" s="129"/>
      <c r="L9" s="177"/>
      <c r="M9" s="129"/>
      <c r="N9" s="141"/>
      <c r="O9" s="141"/>
      <c r="P9" s="133" t="s">
        <v>107</v>
      </c>
      <c r="Q9" s="151" t="s">
        <v>139</v>
      </c>
      <c r="R9" s="131"/>
      <c r="S9" s="61"/>
      <c r="T9" s="61"/>
      <c r="U9" s="61"/>
      <c r="V9" s="61"/>
      <c r="W9" s="61"/>
      <c r="X9" s="61"/>
    </row>
    <row r="10" spans="1:31" ht="19.5" customHeight="1">
      <c r="K10" s="66"/>
      <c r="L10" s="56"/>
      <c r="N10" s="56"/>
      <c r="Q10" s="59"/>
      <c r="R10" s="59"/>
      <c r="S10" s="59"/>
      <c r="T10" s="59"/>
      <c r="U10" s="65"/>
      <c r="V10" s="65"/>
    </row>
    <row r="11" spans="1:31" s="130" customFormat="1" ht="19.5" customHeight="1">
      <c r="B11" s="316" t="s">
        <v>109</v>
      </c>
      <c r="C11" s="316"/>
      <c r="E11" s="318" t="s">
        <v>80</v>
      </c>
      <c r="F11" s="318"/>
      <c r="G11" s="318"/>
      <c r="H11" s="318"/>
      <c r="I11" s="318"/>
      <c r="K11" s="318" t="s">
        <v>81</v>
      </c>
      <c r="L11" s="318"/>
      <c r="M11" s="318"/>
      <c r="N11" s="318"/>
      <c r="O11" s="318"/>
      <c r="P11" s="318"/>
      <c r="Q11" s="318"/>
      <c r="R11" s="318"/>
      <c r="S11" s="318"/>
      <c r="T11" s="318"/>
      <c r="U11" s="318"/>
      <c r="V11" s="318"/>
      <c r="W11" s="318"/>
      <c r="X11" s="318"/>
    </row>
    <row r="12" spans="1:31" s="130" customFormat="1" ht="19.5" customHeight="1" thickBot="1">
      <c r="B12" s="316"/>
      <c r="C12" s="316"/>
      <c r="E12" s="319"/>
      <c r="F12" s="319"/>
      <c r="G12" s="319"/>
      <c r="H12" s="319"/>
      <c r="I12" s="319"/>
      <c r="K12" s="319"/>
      <c r="L12" s="319"/>
      <c r="M12" s="319"/>
      <c r="N12" s="319"/>
      <c r="O12" s="319"/>
      <c r="P12" s="319"/>
      <c r="Q12" s="319"/>
      <c r="R12" s="319"/>
      <c r="S12" s="319"/>
      <c r="T12" s="319"/>
      <c r="U12" s="319"/>
      <c r="V12" s="319"/>
      <c r="W12" s="319"/>
      <c r="X12" s="319"/>
    </row>
    <row r="13" spans="1:31" s="149" customFormat="1" ht="3" customHeight="1" thickTop="1" thickBot="1">
      <c r="B13" s="316"/>
      <c r="C13" s="316"/>
      <c r="E13" s="150"/>
      <c r="F13" s="150"/>
      <c r="G13" s="150"/>
      <c r="H13" s="150"/>
      <c r="I13" s="150"/>
      <c r="K13" s="150"/>
      <c r="L13" s="150"/>
      <c r="M13" s="150"/>
      <c r="N13" s="150"/>
      <c r="O13" s="150"/>
      <c r="P13" s="150"/>
      <c r="Q13" s="150"/>
      <c r="R13" s="150"/>
      <c r="S13" s="150"/>
      <c r="T13" s="150"/>
      <c r="U13" s="150"/>
    </row>
    <row r="14" spans="1:31" ht="57.75" customHeight="1" thickTop="1" thickBot="1">
      <c r="B14" s="316"/>
      <c r="C14" s="316"/>
      <c r="I14" s="280"/>
      <c r="K14" s="320" t="str">
        <f>IF(L8&lt;K8,"DESCONSIDERE O CÁLCULO DO ANEXO 3, VOCÊ NÃO ATINGIU O FATOR R","VOCÊ ATINGIU O FATOR R, POR ISSO PODERÁ SER ENQUADRADO NO ANEXO 3 TAMBÉM")</f>
        <v>DESCONSIDERE O CÁLCULO DO ANEXO 3, VOCÊ NÃO ATINGIU O FATOR R</v>
      </c>
      <c r="L14" s="321"/>
    </row>
    <row r="15" spans="1:31" s="65" customFormat="1" ht="4.5" customHeight="1" thickTop="1" thickBot="1">
      <c r="B15" s="147"/>
      <c r="C15" s="147"/>
      <c r="K15" s="148"/>
      <c r="L15" s="148"/>
    </row>
    <row r="16" spans="1:31" ht="19.5" customHeight="1">
      <c r="B16" s="66"/>
      <c r="E16" s="317" t="s">
        <v>72</v>
      </c>
      <c r="F16" s="313"/>
      <c r="H16" s="330" t="s">
        <v>70</v>
      </c>
      <c r="I16" s="331"/>
      <c r="K16" s="312" t="s">
        <v>69</v>
      </c>
      <c r="L16" s="313"/>
      <c r="M16" s="68"/>
      <c r="N16" s="312" t="s">
        <v>68</v>
      </c>
      <c r="O16" s="313"/>
      <c r="P16" s="69"/>
      <c r="Q16" s="317" t="s">
        <v>44</v>
      </c>
      <c r="R16" s="313"/>
      <c r="S16" s="68"/>
      <c r="T16" s="326" t="s">
        <v>91</v>
      </c>
      <c r="U16" s="327"/>
      <c r="V16" s="68"/>
      <c r="W16" s="326" t="s">
        <v>132</v>
      </c>
      <c r="X16" s="327"/>
      <c r="AB16" s="67"/>
      <c r="AC16" s="67"/>
      <c r="AD16" s="67"/>
      <c r="AE16" s="67"/>
    </row>
    <row r="17" spans="2:42" ht="19.5" customHeight="1" thickBot="1">
      <c r="B17" s="158" t="s">
        <v>54</v>
      </c>
      <c r="C17" s="159">
        <v>1</v>
      </c>
      <c r="E17" s="314"/>
      <c r="F17" s="315"/>
      <c r="H17" s="332"/>
      <c r="I17" s="333"/>
      <c r="K17" s="314"/>
      <c r="L17" s="315"/>
      <c r="M17" s="68"/>
      <c r="N17" s="314"/>
      <c r="O17" s="315"/>
      <c r="P17" s="69"/>
      <c r="Q17" s="314"/>
      <c r="R17" s="315"/>
      <c r="S17" s="68"/>
      <c r="T17" s="328"/>
      <c r="U17" s="329"/>
      <c r="V17" s="68"/>
      <c r="W17" s="328"/>
      <c r="X17" s="329"/>
      <c r="Y17" s="67"/>
      <c r="Z17" s="67"/>
      <c r="AA17" s="67"/>
      <c r="AB17" s="67"/>
      <c r="AC17" s="67"/>
      <c r="AD17" s="67"/>
      <c r="AE17" s="67"/>
    </row>
    <row r="18" spans="2:42" ht="19.5" customHeight="1" thickTop="1" thickBot="1">
      <c r="B18" s="72"/>
      <c r="C18" s="178"/>
      <c r="E18" s="67"/>
      <c r="F18" s="67"/>
      <c r="H18" s="67"/>
      <c r="I18" s="67"/>
      <c r="K18" s="73"/>
      <c r="L18" s="74"/>
      <c r="N18" s="73"/>
      <c r="O18" s="74"/>
      <c r="P18" s="74"/>
      <c r="Q18" s="74"/>
      <c r="R18" s="74"/>
      <c r="S18" s="67"/>
      <c r="T18" s="74"/>
      <c r="U18" s="74"/>
      <c r="V18" s="67"/>
      <c r="Y18" s="67"/>
      <c r="Z18" s="67"/>
      <c r="AA18" s="67"/>
      <c r="AB18" s="67"/>
      <c r="AC18" s="67"/>
      <c r="AD18" s="67"/>
      <c r="AE18" s="67"/>
    </row>
    <row r="19" spans="2:42" ht="19.5" customHeight="1" thickTop="1" thickBot="1">
      <c r="B19" s="179" t="s">
        <v>2</v>
      </c>
      <c r="C19" s="75">
        <f>H4</f>
        <v>350000</v>
      </c>
      <c r="E19" s="334" t="s">
        <v>122</v>
      </c>
      <c r="F19" s="334"/>
      <c r="H19" s="77"/>
      <c r="I19" s="78"/>
      <c r="K19" s="79" t="s">
        <v>50</v>
      </c>
      <c r="L19" s="80">
        <f>VLOOKUP(K19,resumo!$B$2:$C$3,2,0)</f>
        <v>738000</v>
      </c>
      <c r="N19" s="79" t="s">
        <v>51</v>
      </c>
      <c r="O19" s="80">
        <f>VLOOKUP(N19,resumo!$B$2:$C$3,2,0)</f>
        <v>741000</v>
      </c>
      <c r="Q19" s="81" t="s">
        <v>40</v>
      </c>
      <c r="R19" s="80">
        <f>resumo!C6</f>
        <v>27300</v>
      </c>
      <c r="S19" s="76"/>
      <c r="T19" s="81" t="s">
        <v>40</v>
      </c>
      <c r="U19" s="80">
        <f>resumo!C6</f>
        <v>27300</v>
      </c>
      <c r="V19" s="76"/>
      <c r="W19" s="81" t="s">
        <v>40</v>
      </c>
      <c r="X19" s="80">
        <f>resumo!C14</f>
        <v>27300.000000000004</v>
      </c>
    </row>
    <row r="20" spans="2:42" ht="19.5" customHeight="1" thickTop="1" thickBot="1">
      <c r="B20" s="72" t="s">
        <v>48</v>
      </c>
      <c r="C20" s="82">
        <v>0.32</v>
      </c>
      <c r="E20" s="76"/>
      <c r="F20" s="76"/>
      <c r="H20" s="77"/>
      <c r="I20" s="78"/>
      <c r="K20" s="79">
        <v>0</v>
      </c>
      <c r="L20" s="80">
        <f>VLOOKUP(K20,resumo!$B$2:$C$4,2,0)</f>
        <v>0</v>
      </c>
      <c r="N20" s="79">
        <v>0</v>
      </c>
      <c r="O20" s="80">
        <f>VLOOKUP(N20,resumo!$B$2:$C$4,2,0)</f>
        <v>0</v>
      </c>
      <c r="P20" s="83"/>
      <c r="Q20" s="81" t="s">
        <v>41</v>
      </c>
      <c r="R20" s="80">
        <f>resumo!C7</f>
        <v>126000</v>
      </c>
      <c r="S20" s="76"/>
      <c r="T20" s="81" t="s">
        <v>41</v>
      </c>
      <c r="U20" s="80">
        <f>resumo!C7</f>
        <v>126000</v>
      </c>
      <c r="V20" s="76"/>
      <c r="W20" s="81" t="s">
        <v>41</v>
      </c>
      <c r="X20" s="80">
        <f>resumo!C15</f>
        <v>126000</v>
      </c>
    </row>
    <row r="21" spans="2:42" ht="19.5" customHeight="1" thickBot="1">
      <c r="B21" s="70" t="s">
        <v>49</v>
      </c>
      <c r="C21" s="84">
        <v>0.32</v>
      </c>
      <c r="E21" s="189"/>
      <c r="F21" s="190" t="s">
        <v>123</v>
      </c>
      <c r="H21" s="77"/>
      <c r="I21" s="78"/>
      <c r="K21" s="85"/>
      <c r="L21" s="86"/>
      <c r="N21" s="85"/>
      <c r="O21" s="86"/>
      <c r="P21" s="83"/>
      <c r="Q21" s="81" t="s">
        <v>42</v>
      </c>
      <c r="R21" s="80">
        <f>resumo!C8</f>
        <v>210000</v>
      </c>
      <c r="S21" s="76"/>
      <c r="T21" s="81" t="s">
        <v>42</v>
      </c>
      <c r="U21" s="80">
        <f>C23*12</f>
        <v>529.91999999999996</v>
      </c>
      <c r="V21" s="76"/>
      <c r="W21" s="81" t="s">
        <v>42</v>
      </c>
      <c r="X21" s="80">
        <f>resumo!C16</f>
        <v>210000</v>
      </c>
    </row>
    <row r="22" spans="2:42" ht="19.5" customHeight="1" thickTop="1" thickBot="1">
      <c r="B22" s="87" t="s">
        <v>42</v>
      </c>
      <c r="C22" s="88">
        <f>Q4</f>
        <v>0.05</v>
      </c>
      <c r="E22" s="187"/>
      <c r="F22" s="187"/>
      <c r="H22" s="77"/>
      <c r="I22" s="78"/>
      <c r="K22" s="89"/>
      <c r="L22" s="86"/>
      <c r="N22" s="89"/>
      <c r="O22" s="86"/>
      <c r="Q22" s="81" t="s">
        <v>43</v>
      </c>
      <c r="R22" s="80">
        <f>SUM(resumo!C9:C10)</f>
        <v>312000</v>
      </c>
      <c r="S22" s="76"/>
      <c r="T22" s="81" t="s">
        <v>43</v>
      </c>
      <c r="U22" s="80">
        <f>SUM(resumo!C9:C10)</f>
        <v>312000</v>
      </c>
      <c r="V22" s="76"/>
      <c r="W22" s="81" t="s">
        <v>43</v>
      </c>
      <c r="X22" s="80">
        <f>SUM(resumo!C17:C18)</f>
        <v>140640</v>
      </c>
    </row>
    <row r="23" spans="2:42" ht="19.5" customHeight="1" thickTop="1" thickBot="1">
      <c r="B23" s="127" t="s">
        <v>141</v>
      </c>
      <c r="C23" s="71">
        <v>44.16</v>
      </c>
      <c r="E23" s="76"/>
      <c r="F23" s="76"/>
      <c r="H23" s="90"/>
      <c r="I23" s="91"/>
      <c r="K23" s="92"/>
      <c r="L23" s="93"/>
      <c r="N23" s="92"/>
      <c r="O23" s="93"/>
      <c r="Q23" s="81" t="s">
        <v>46</v>
      </c>
      <c r="R23" s="80">
        <f>resumo!C11</f>
        <v>120960</v>
      </c>
      <c r="S23" s="76"/>
      <c r="T23" s="81" t="s">
        <v>46</v>
      </c>
      <c r="U23" s="80">
        <f>resumo!C11</f>
        <v>120960</v>
      </c>
      <c r="V23" s="76"/>
      <c r="W23" s="81" t="s">
        <v>46</v>
      </c>
      <c r="X23" s="80">
        <f>resumo!C19</f>
        <v>75600</v>
      </c>
    </row>
    <row r="24" spans="2:42" ht="19.5" customHeight="1" thickTop="1" thickBot="1">
      <c r="B24" s="72" t="s">
        <v>67</v>
      </c>
      <c r="C24" s="94">
        <f>L8</f>
        <v>1518</v>
      </c>
      <c r="E24" s="76"/>
      <c r="F24" s="76"/>
      <c r="H24" s="95" t="s">
        <v>63</v>
      </c>
      <c r="I24" s="96">
        <f>SUM(I19:I23)</f>
        <v>0</v>
      </c>
      <c r="K24" s="95" t="s">
        <v>62</v>
      </c>
      <c r="L24" s="97">
        <f>SUM(L19:L23)</f>
        <v>738000</v>
      </c>
      <c r="N24" s="95" t="s">
        <v>62</v>
      </c>
      <c r="O24" s="97">
        <f>SUM(O19:O23)</f>
        <v>741000</v>
      </c>
      <c r="P24" s="98"/>
      <c r="Q24" s="95" t="s">
        <v>63</v>
      </c>
      <c r="R24" s="96">
        <f>SUM(R19:R23)</f>
        <v>796260</v>
      </c>
      <c r="S24" s="76"/>
      <c r="T24" s="95" t="s">
        <v>63</v>
      </c>
      <c r="U24" s="96">
        <f>SUM(U19:U23)</f>
        <v>586789.92000000004</v>
      </c>
      <c r="V24" s="76"/>
      <c r="W24" s="95" t="s">
        <v>63</v>
      </c>
      <c r="X24" s="96">
        <f>SUM(X19:X23)</f>
        <v>579540</v>
      </c>
    </row>
    <row r="25" spans="2:42" ht="19.5" customHeight="1" thickBot="1">
      <c r="B25" s="72" t="s">
        <v>93</v>
      </c>
      <c r="C25" s="94">
        <f>Q8</f>
        <v>1518</v>
      </c>
      <c r="E25" s="95" t="s">
        <v>77</v>
      </c>
      <c r="F25" s="99">
        <f>resumo!C22</f>
        <v>93349.697700000019</v>
      </c>
      <c r="H25" s="95" t="s">
        <v>64</v>
      </c>
      <c r="I25" s="97">
        <f>I24/12</f>
        <v>0</v>
      </c>
      <c r="K25" s="95" t="s">
        <v>61</v>
      </c>
      <c r="L25" s="99">
        <f>L24/12</f>
        <v>61500</v>
      </c>
      <c r="N25" s="95" t="s">
        <v>61</v>
      </c>
      <c r="O25" s="99">
        <f>O24/12</f>
        <v>61750</v>
      </c>
      <c r="P25" s="98"/>
      <c r="Q25" s="95" t="s">
        <v>64</v>
      </c>
      <c r="R25" s="99">
        <f>R24/12</f>
        <v>66355</v>
      </c>
      <c r="S25" s="76"/>
      <c r="T25" s="95" t="s">
        <v>64</v>
      </c>
      <c r="U25" s="99">
        <f>U24/12</f>
        <v>48899.16</v>
      </c>
      <c r="V25" s="100"/>
      <c r="W25" s="95" t="s">
        <v>64</v>
      </c>
      <c r="X25" s="99">
        <f>X24/12</f>
        <v>48295</v>
      </c>
    </row>
    <row r="26" spans="2:42" s="255" customFormat="1" ht="23.25" customHeight="1" thickBot="1">
      <c r="B26" s="279"/>
      <c r="C26" s="157"/>
      <c r="H26" s="256">
        <f>IF(C19&lt;=SUSPENSA!E6,SUSPENSA!G6,IF(AND(C19&gt;SUSPENSA!E7,C19&lt;=SUSPENSA!F7),SUSPENSA!G7,IF(AND(C19&gt;SUSPENSA!E8,C19&lt;=SUSPENSA!F8),SUSPENSA!G8,IF(AND(C19&gt;SUSPENSA!E9,C19&lt;=SUSPENSA!F9),SUSPENSA!G9,IF(AND(C19&gt;SUSPENSA!F9),SUSPENSA!F12)))))</f>
        <v>951.62</v>
      </c>
      <c r="I26" s="257" t="str">
        <f>IF(C19&lt;=SUSPENSA!E6,"0",IF(AND(C19&gt;SUSPENSA!E7,C19&lt;=SUSPENSA!F7),SUSPENSA!H7,IF(AND(C19&gt;SUSPENSA!E8,C19&lt;=SUSPENSA!F8),SUSPENSA!H8,IF(AND(C19&gt;SUSPENSA!E9,C19&lt;=SUSPENSA!F9),SUSPENSA!H9,IF(AND(C19&gt;SUSPENSA!F9),"0")))))</f>
        <v>0</v>
      </c>
      <c r="J26" s="157"/>
      <c r="K26" s="157"/>
      <c r="L26" s="257">
        <f>IF(C24&gt;SUSPENSA!F15,SUSPENSA!F16,C24*11%)</f>
        <v>166.98</v>
      </c>
      <c r="M26" s="258"/>
      <c r="N26" s="257"/>
      <c r="O26" s="257">
        <f>IF(C25&gt;SUSPENSA!F15,SUSPENSA!F16,C25*11%)</f>
        <v>166.98</v>
      </c>
      <c r="P26" s="259"/>
      <c r="Q26" s="257"/>
      <c r="R26" s="257">
        <f>IF(C25&gt;SUSPENSA!F15,SUSPENSA!F16,C25*11%)</f>
        <v>166.98</v>
      </c>
      <c r="S26" s="260"/>
      <c r="T26" s="257"/>
      <c r="U26" s="257">
        <f>IF(C25&gt;SUSPENSA!F15,SUSPENSA!F16,C25*11%)</f>
        <v>166.98</v>
      </c>
      <c r="W26" s="257"/>
      <c r="X26" s="257">
        <f>IF(C25&gt;SUSPENSA!F15,SUSPENSA!F16,C25*11%)</f>
        <v>166.98</v>
      </c>
    </row>
    <row r="27" spans="2:42" ht="23.25" customHeight="1" thickBot="1">
      <c r="B27" s="128" t="s">
        <v>73</v>
      </c>
      <c r="C27" s="101">
        <f>H6*-1</f>
        <v>-3600</v>
      </c>
      <c r="E27" s="102" t="s">
        <v>55</v>
      </c>
      <c r="F27" s="103">
        <f>IF(F21="PF E PJ - COD 1007 - 20% REND",H8,H9)</f>
        <v>1631.482</v>
      </c>
      <c r="H27" s="79" t="s">
        <v>55</v>
      </c>
      <c r="I27" s="104">
        <f>IF(H26=SUSPENSA!F12,SUSPENSA!F12,H26*C19-I26)</f>
        <v>951.62</v>
      </c>
      <c r="K27" s="79" t="s">
        <v>55</v>
      </c>
      <c r="L27" s="65">
        <f>IF(Q9="SIM",0,L26)</f>
        <v>166.98</v>
      </c>
      <c r="N27" s="79" t="s">
        <v>55</v>
      </c>
      <c r="O27" s="65">
        <f>IF(Q9="SIM",0,O26)</f>
        <v>166.98</v>
      </c>
      <c r="Q27" s="79" t="s">
        <v>55</v>
      </c>
      <c r="R27" s="65">
        <f>IF(Q9="SIM",0,R26)</f>
        <v>166.98</v>
      </c>
      <c r="T27" s="79" t="s">
        <v>55</v>
      </c>
      <c r="U27" s="56">
        <f>IF(Q9="SIM",0,U26)</f>
        <v>166.98</v>
      </c>
      <c r="W27" s="79" t="s">
        <v>55</v>
      </c>
      <c r="X27" s="56">
        <f>IF(Q9="SIM",0,X26)</f>
        <v>166.98</v>
      </c>
    </row>
    <row r="28" spans="2:42" ht="23.25" customHeight="1" thickBot="1">
      <c r="B28" s="128" t="s">
        <v>95</v>
      </c>
      <c r="C28" s="106">
        <f>IF(C19&gt;SUSPENSA!F3,SUSPENSA!F3,C19)</f>
        <v>8157.41</v>
      </c>
      <c r="E28" s="107"/>
      <c r="F28" s="108"/>
      <c r="H28" s="107"/>
      <c r="I28" s="109"/>
      <c r="K28" s="110" t="s">
        <v>60</v>
      </c>
      <c r="L28" s="105">
        <f>C24*0%</f>
        <v>0</v>
      </c>
      <c r="N28" s="110" t="s">
        <v>60</v>
      </c>
      <c r="O28" s="105">
        <f>C25*0%</f>
        <v>0</v>
      </c>
      <c r="Q28" s="110" t="s">
        <v>60</v>
      </c>
      <c r="R28" s="111">
        <f>C25*20%</f>
        <v>303.60000000000002</v>
      </c>
      <c r="T28" s="110" t="s">
        <v>60</v>
      </c>
      <c r="U28" s="111">
        <f>C25*20%</f>
        <v>303.60000000000002</v>
      </c>
      <c r="W28" s="110" t="s">
        <v>60</v>
      </c>
      <c r="X28" s="111">
        <f>C25*20%</f>
        <v>303.60000000000002</v>
      </c>
    </row>
    <row r="29" spans="2:42" s="112" customFormat="1" ht="12">
      <c r="E29" s="113"/>
      <c r="F29" s="114"/>
      <c r="H29" s="152" t="s">
        <v>58</v>
      </c>
      <c r="I29" s="153">
        <f>C19-I27</f>
        <v>349048.38</v>
      </c>
      <c r="K29" s="152" t="s">
        <v>58</v>
      </c>
      <c r="L29" s="153">
        <f>IF(L27&lt;=564.8,C24-564.8,C24-L27)</f>
        <v>953.2</v>
      </c>
      <c r="M29" s="115"/>
      <c r="N29" s="152" t="s">
        <v>58</v>
      </c>
      <c r="O29" s="153">
        <f>IF(O27&lt;=564.8,C25-564.8,C25-O27)</f>
        <v>953.2</v>
      </c>
      <c r="P29" s="115"/>
      <c r="Q29" s="152" t="s">
        <v>58</v>
      </c>
      <c r="R29" s="153">
        <f>IF(R27&lt;=564.8,C25-564.8,C25-R27)</f>
        <v>953.2</v>
      </c>
      <c r="S29" s="115"/>
      <c r="T29" s="152" t="s">
        <v>58</v>
      </c>
      <c r="U29" s="153">
        <f>IF(U27&lt;=564.8,C25-564.8,C25-U27)</f>
        <v>953.2</v>
      </c>
      <c r="V29" s="115"/>
      <c r="W29" s="152" t="s">
        <v>58</v>
      </c>
      <c r="X29" s="153">
        <f>IF(X27&lt;=564.8,C25-564.8,C25-X27)</f>
        <v>953.2</v>
      </c>
      <c r="AM29" s="134"/>
      <c r="AN29" s="135"/>
      <c r="AO29" s="135"/>
      <c r="AP29" s="135"/>
    </row>
    <row r="30" spans="2:42" s="112" customFormat="1" ht="12">
      <c r="E30" s="113"/>
      <c r="F30" s="116"/>
      <c r="H30" s="152" t="s">
        <v>56</v>
      </c>
      <c r="I30" s="275">
        <f>IF(I29&lt;=SUSPENSA!$E$20,SUSPENSA!$G$20,IF(AND(I29&gt;SUSPENSA!$E$21,I29&lt;=SUSPENSA!$F$21),SUSPENSA!$G$21,IF(AND(I29&gt;SUSPENSA!$E$22,I29&lt;=SUSPENSA!$F$22),SUSPENSA!$G$22,IF(AND(I29&gt;SUSPENSA!$E$23,I29&lt;=SUSPENSA!$F$23),SUSPENSA!$G$23,IF(AND(I29&gt;SUSPENSA!$E$24),SUSPENSA!$G$24,0)))))</f>
        <v>0.27500000000000002</v>
      </c>
      <c r="K30" s="152" t="s">
        <v>56</v>
      </c>
      <c r="L30" s="275">
        <f>IF(L29&lt;=SUSPENSA!$E$20,SUSPENSA!$G$20,IF(AND(L29&gt;SUSPENSA!$E$21,L29&lt;=SUSPENSA!$F$21),SUSPENSA!$G$21,IF(AND(L29&gt;SUSPENSA!$E$22,L29&lt;=SUSPENSA!$F$22),SUSPENSA!$G$22,IF(AND(L29&gt;SUSPENSA!$E$23,L29&lt;=SUSPENSA!$F$23),SUSPENSA!$G$23,IF(AND(L29&gt;SUSPENSA!$E$24),SUSPENSA!$G$24,0)))))</f>
        <v>0</v>
      </c>
      <c r="M30" s="276"/>
      <c r="N30" s="277" t="s">
        <v>56</v>
      </c>
      <c r="O30" s="275">
        <f>IF(O29&lt;=SUSPENSA!$E$20,SUSPENSA!$G$20,IF(AND(O29&gt;SUSPENSA!$E$21,O29&lt;=SUSPENSA!$F$21),SUSPENSA!$G$21,IF(AND(O29&gt;SUSPENSA!$E$22,O29&lt;=SUSPENSA!$F$22),SUSPENSA!$G$22,IF(AND(O29&gt;SUSPENSA!$E$23,O29&lt;=SUSPENSA!$F$23),SUSPENSA!$G$23,IF(AND(O29&gt;SUSPENSA!$E$24),SUSPENSA!$G$24,0)))))</f>
        <v>0</v>
      </c>
      <c r="P30" s="278"/>
      <c r="Q30" s="277" t="s">
        <v>56</v>
      </c>
      <c r="R30" s="275">
        <f>IF(R29&lt;=SUSPENSA!$E$20,SUSPENSA!$G$20,IF(AND(R29&gt;SUSPENSA!$E$21,R29&lt;=SUSPENSA!$F$21),SUSPENSA!$G$21,IF(AND(R29&gt;SUSPENSA!$E$22,R29&lt;=SUSPENSA!$F$22),SUSPENSA!$G$22,IF(AND(R29&gt;SUSPENSA!$E$23,R29&lt;=SUSPENSA!$F$23),SUSPENSA!$G$23,IF(AND(R29&gt;SUSPENSA!$E$24),SUSPENSA!$G$24,0)))))</f>
        <v>0</v>
      </c>
      <c r="S30" s="276"/>
      <c r="T30" s="277" t="s">
        <v>56</v>
      </c>
      <c r="U30" s="275">
        <f>IF(U29&lt;=SUSPENSA!$E$20,SUSPENSA!$G$20,IF(AND(U29&gt;SUSPENSA!$E$21,U29&lt;=SUSPENSA!$F$21),SUSPENSA!$G$21,IF(AND(U29&gt;SUSPENSA!$E$22,U29&lt;=SUSPENSA!$F$22),SUSPENSA!$G$22,IF(AND(U29&gt;SUSPENSA!$E$23,U29&lt;=SUSPENSA!$F$23),SUSPENSA!$G$23,IF(AND(U29&gt;SUSPENSA!$E$24),SUSPENSA!$G$24,0)))))</f>
        <v>0</v>
      </c>
      <c r="V30" s="276"/>
      <c r="W30" s="277" t="s">
        <v>56</v>
      </c>
      <c r="X30" s="275">
        <f>IF(X29&lt;=SUSPENSA!$E$20,SUSPENSA!$G$20,IF(AND(X29&gt;SUSPENSA!$E$21,X29&lt;=SUSPENSA!$F$21),SUSPENSA!$G$21,IF(AND(X29&gt;SUSPENSA!$E$22,X29&lt;=SUSPENSA!$F$22),SUSPENSA!$G$22,IF(AND(X29&gt;SUSPENSA!$E$23,X29&lt;=SUSPENSA!$F$23),SUSPENSA!$G$23,IF(AND(X29&gt;SUSPENSA!$E$24),SUSPENSA!$G$24,0)))))</f>
        <v>0</v>
      </c>
      <c r="AM30" s="134"/>
      <c r="AN30" s="135"/>
      <c r="AO30" s="135"/>
      <c r="AP30" s="135"/>
    </row>
    <row r="31" spans="2:42" s="112" customFormat="1" ht="12.6" thickBot="1">
      <c r="E31" s="113"/>
      <c r="F31" s="116"/>
      <c r="H31" s="152" t="s">
        <v>57</v>
      </c>
      <c r="I31" s="154">
        <f>IF(I29&lt;=SUSPENSA!$E$20,SUSPENSA!$H$20,IF(AND(I29&gt;SUSPENSA!$E$21,I29&lt;=SUSPENSA!$F$215),SUSPENSA!$H$21,IF(AND(I29&gt;SUSPENSA!$E$22,I29&lt;=SUSPENSA!$F$22),SUSPENSA!$H$22,IF(AND(I29&gt;SUSPENSA!$E$23,I29&lt;=SUSPENSA!$F$23),SUSPENSA!$H$23,IF(AND(I29&gt;SUSPENSA!$E$24),SUSPENSA!$H$24,0)))))</f>
        <v>896</v>
      </c>
      <c r="K31" s="152" t="s">
        <v>57</v>
      </c>
      <c r="L31" s="154">
        <f>IF(L29&lt;=SUSPENSA!$E$20,SUSPENSA!$H$20,IF(AND(L29&gt;SUSPENSA!$E$21,L29&lt;=SUSPENSA!$F$21),SUSPENSA!$H$21,IF(AND(L29&gt;SUSPENSA!$E$22,L29&lt;=SUSPENSA!$F$22),SUSPENSA!$H$22,IF(AND(L29&gt;SUSPENSA!$E$23,L29&lt;=SUSPENSA!$F$23),SUSPENSA!$H$23,IF(AND(L29&gt;SUSPENSA!$E$24),SUSPENSA!$H$24,0)))))</f>
        <v>0</v>
      </c>
      <c r="N31" s="152" t="s">
        <v>57</v>
      </c>
      <c r="O31" s="154">
        <f>IF(O29&lt;=SUSPENSA!$E$20,SUSPENSA!$H$20,IF(AND(O29&gt;SUSPENSA!$E$21,O29&lt;=SUSPENSA!$F$21),SUSPENSA!$H$21,IF(AND(O29&gt;SUSPENSA!$E$22,O29&lt;=SUSPENSA!$F$22),SUSPENSA!$H$22,IF(AND(O29&gt;SUSPENSA!$E$23,O29&lt;=SUSPENSA!$F$23),SUSPENSA!$H$23,IF(AND(O29&gt;SUSPENSA!$E$24),SUSPENSA!$H$24,0)))))</f>
        <v>0</v>
      </c>
      <c r="P31" s="115"/>
      <c r="Q31" s="152" t="s">
        <v>57</v>
      </c>
      <c r="R31" s="154">
        <f>IF(R29&lt;=SUSPENSA!$E$20,SUSPENSA!$H$20,IF(AND(R29&gt;SUSPENSA!$E$21,R29&lt;=SUSPENSA!$F$21),SUSPENSA!$H$21,IF(AND(R29&gt;SUSPENSA!$E$22,R29&lt;=SUSPENSA!$F$22),SUSPENSA!$H$22,IF(AND(R29&gt;SUSPENSA!$E$23,R29&lt;=SUSPENSA!$F$23),SUSPENSA!$H$23,IF(AND(R29&gt;SUSPENSA!$E$24),SUSPENSA!$H$24,0)))))</f>
        <v>0</v>
      </c>
      <c r="T31" s="152" t="s">
        <v>57</v>
      </c>
      <c r="U31" s="154">
        <f>IF(U29&lt;=SUSPENSA!$E$20,SUSPENSA!$H$20,IF(AND(U29&gt;SUSPENSA!$E$21,U29&lt;=SUSPENSA!$F$21),SUSPENSA!$H$21,IF(AND(U29&gt;SUSPENSA!$E$22,U29&lt;=SUSPENSA!$F$22),SUSPENSA!$H$22,IF(AND(U29&gt;SUSPENSA!$E$23,U29&lt;=SUSPENSA!$F$23),SUSPENSA!$H$23,IF(AND(U29&gt;SUSPENSA!$E$24),SUSPENSA!$H$24,0)))))</f>
        <v>0</v>
      </c>
      <c r="W31" s="152" t="s">
        <v>57</v>
      </c>
      <c r="X31" s="154">
        <f>IF(X29&lt;=SUSPENSA!$E$20,SUSPENSA!$H$20,IF(AND(X29&gt;SUSPENSA!$E$21,X29&lt;=SUSPENSA!$F$21),SUSPENSA!$H$21,IF(AND(X29&gt;SUSPENSA!$E$22,X29&lt;=SUSPENSA!$F$22),SUSPENSA!$H$22,IF(AND(X29&gt;SUSPENSA!$E$23,X29&lt;=SUSPENSA!$F$23),SUSPENSA!$H$23,IF(AND(X29&gt;SUSPENSA!$E$24),SUSPENSA!$H$24,0)))))</f>
        <v>0</v>
      </c>
      <c r="AM31" s="134"/>
      <c r="AN31" s="135"/>
      <c r="AO31" s="135"/>
      <c r="AP31" s="135"/>
    </row>
    <row r="32" spans="2:42" ht="23.25" customHeight="1" thickBot="1">
      <c r="B32" s="72"/>
      <c r="C32" s="178"/>
      <c r="E32" s="117" t="s">
        <v>66</v>
      </c>
      <c r="F32" s="99">
        <f>F34*F27</f>
        <v>1631.482</v>
      </c>
      <c r="H32" s="79" t="s">
        <v>52</v>
      </c>
      <c r="I32" s="99">
        <f>I29*I30-I31</f>
        <v>95092.304500000013</v>
      </c>
      <c r="K32" s="79" t="s">
        <v>52</v>
      </c>
      <c r="L32" s="118">
        <f>L29*L30-L31</f>
        <v>0</v>
      </c>
      <c r="N32" s="79" t="s">
        <v>52</v>
      </c>
      <c r="O32" s="118">
        <f>O29*O30-O31</f>
        <v>0</v>
      </c>
      <c r="Q32" s="79" t="s">
        <v>52</v>
      </c>
      <c r="R32" s="118">
        <f>R29*R30-R31</f>
        <v>0</v>
      </c>
      <c r="T32" s="79" t="s">
        <v>52</v>
      </c>
      <c r="U32" s="118">
        <f>U29*U30-U31</f>
        <v>0</v>
      </c>
      <c r="W32" s="79" t="s">
        <v>52</v>
      </c>
      <c r="X32" s="118">
        <f>X29*X30-X31</f>
        <v>0</v>
      </c>
      <c r="Y32" s="112"/>
      <c r="AM32" s="134"/>
      <c r="AN32" s="135"/>
      <c r="AO32" s="135"/>
      <c r="AP32" s="135"/>
    </row>
    <row r="33" spans="1:42" ht="33" customHeight="1" thickTop="1" thickBot="1">
      <c r="B33" s="179" t="s">
        <v>2</v>
      </c>
      <c r="C33" s="75">
        <f>H4</f>
        <v>350000</v>
      </c>
      <c r="E33" s="119"/>
      <c r="F33" s="105"/>
      <c r="H33" s="120"/>
      <c r="I33" s="121"/>
      <c r="K33" s="117" t="s">
        <v>59</v>
      </c>
      <c r="L33" s="97">
        <f>L27+L28+L32</f>
        <v>166.98</v>
      </c>
      <c r="N33" s="117" t="s">
        <v>59</v>
      </c>
      <c r="O33" s="97">
        <f>O27+O28+O32</f>
        <v>166.98</v>
      </c>
      <c r="Q33" s="117" t="s">
        <v>59</v>
      </c>
      <c r="R33" s="97">
        <f>R27+R28+R32</f>
        <v>470.58000000000004</v>
      </c>
      <c r="T33" s="117" t="s">
        <v>59</v>
      </c>
      <c r="U33" s="97">
        <f>U27+U28+U32</f>
        <v>470.58000000000004</v>
      </c>
      <c r="W33" s="117" t="s">
        <v>59</v>
      </c>
      <c r="X33" s="97">
        <f>X27+X28+X32</f>
        <v>470.58000000000004</v>
      </c>
      <c r="Y33" s="112"/>
      <c r="AM33" s="134"/>
      <c r="AN33" s="135"/>
      <c r="AO33" s="135"/>
      <c r="AP33" s="135"/>
    </row>
    <row r="34" spans="1:42" s="157" customFormat="1" ht="15" thickTop="1" thickBot="1">
      <c r="E34" s="155" t="s">
        <v>65</v>
      </c>
      <c r="F34" s="156">
        <f>C17</f>
        <v>1</v>
      </c>
      <c r="H34" s="155"/>
      <c r="I34" s="156"/>
      <c r="K34" s="160" t="s">
        <v>65</v>
      </c>
      <c r="L34" s="161">
        <f>C17</f>
        <v>1</v>
      </c>
      <c r="N34" s="160" t="s">
        <v>65</v>
      </c>
      <c r="O34" s="161">
        <f>C17</f>
        <v>1</v>
      </c>
      <c r="Q34" s="160" t="s">
        <v>65</v>
      </c>
      <c r="R34" s="161">
        <f>C17</f>
        <v>1</v>
      </c>
      <c r="T34" s="160" t="s">
        <v>65</v>
      </c>
      <c r="U34" s="161">
        <f>C17</f>
        <v>1</v>
      </c>
      <c r="W34" s="160" t="s">
        <v>65</v>
      </c>
      <c r="X34" s="161">
        <f>C17</f>
        <v>1</v>
      </c>
      <c r="Y34" s="162"/>
      <c r="AM34" s="163"/>
      <c r="AN34" s="164"/>
      <c r="AO34" s="164"/>
      <c r="AP34" s="164"/>
    </row>
    <row r="35" spans="1:42" ht="42.75" customHeight="1" thickBot="1">
      <c r="D35" s="56">
        <f>1680-564.8</f>
        <v>1115.2</v>
      </c>
      <c r="H35" s="119"/>
      <c r="I35" s="105"/>
      <c r="K35" s="117" t="s">
        <v>66</v>
      </c>
      <c r="L35" s="99">
        <f>L33*L34</f>
        <v>166.98</v>
      </c>
      <c r="N35" s="117" t="s">
        <v>66</v>
      </c>
      <c r="O35" s="99">
        <f>O33*O34</f>
        <v>166.98</v>
      </c>
      <c r="Q35" s="117" t="s">
        <v>66</v>
      </c>
      <c r="R35" s="99">
        <f>R33*R34</f>
        <v>470.58000000000004</v>
      </c>
      <c r="T35" s="117" t="s">
        <v>66</v>
      </c>
      <c r="U35" s="99">
        <f>U33*U34</f>
        <v>470.58000000000004</v>
      </c>
      <c r="W35" s="117" t="s">
        <v>66</v>
      </c>
      <c r="X35" s="99">
        <f>X33*X34</f>
        <v>470.58000000000004</v>
      </c>
      <c r="Y35" s="112"/>
      <c r="AM35" s="134"/>
      <c r="AN35" s="135"/>
      <c r="AO35" s="135"/>
      <c r="AP35" s="135"/>
    </row>
    <row r="36" spans="1:42" ht="19.5" customHeight="1" thickBot="1">
      <c r="B36" s="65"/>
      <c r="C36" s="157"/>
      <c r="E36" s="65"/>
      <c r="F36" s="65"/>
      <c r="G36" s="65"/>
      <c r="J36" s="65"/>
      <c r="K36" s="122"/>
      <c r="L36" s="86"/>
      <c r="M36" s="65"/>
      <c r="N36" s="122"/>
      <c r="O36" s="86"/>
      <c r="P36" s="122"/>
      <c r="T36" s="65"/>
      <c r="U36" s="65"/>
      <c r="W36" s="65"/>
      <c r="X36" s="65"/>
      <c r="Y36" s="112"/>
      <c r="AM36" s="134"/>
      <c r="AN36" s="135"/>
      <c r="AO36" s="135"/>
      <c r="AP36" s="135"/>
    </row>
    <row r="37" spans="1:42" s="66" customFormat="1" ht="19.5" customHeight="1">
      <c r="A37" s="56"/>
      <c r="B37" s="56"/>
      <c r="C37" s="56"/>
      <c r="D37" s="56"/>
      <c r="E37" s="324" t="s">
        <v>83</v>
      </c>
      <c r="F37" s="325"/>
      <c r="G37" s="123"/>
      <c r="H37" s="324" t="s">
        <v>83</v>
      </c>
      <c r="I37" s="325"/>
      <c r="J37" s="123"/>
      <c r="K37" s="324" t="s">
        <v>87</v>
      </c>
      <c r="L37" s="325"/>
      <c r="M37" s="123"/>
      <c r="N37" s="324" t="s">
        <v>87</v>
      </c>
      <c r="O37" s="325"/>
      <c r="P37" s="123"/>
      <c r="Q37" s="324" t="s">
        <v>83</v>
      </c>
      <c r="R37" s="325"/>
      <c r="T37" s="324" t="s">
        <v>83</v>
      </c>
      <c r="U37" s="325"/>
      <c r="W37" s="324" t="s">
        <v>83</v>
      </c>
      <c r="X37" s="325"/>
      <c r="Y37" s="112"/>
      <c r="AM37" s="134"/>
      <c r="AN37" s="135"/>
      <c r="AO37" s="135"/>
      <c r="AP37" s="135"/>
    </row>
    <row r="38" spans="1:42" s="66" customFormat="1" ht="19.5" customHeight="1">
      <c r="A38" s="56"/>
      <c r="B38" s="72"/>
      <c r="C38" s="254"/>
      <c r="D38" s="56"/>
      <c r="E38" s="165"/>
      <c r="F38" s="166">
        <f>F25</f>
        <v>93349.697700000019</v>
      </c>
      <c r="H38" s="165"/>
      <c r="I38" s="166">
        <f>I32</f>
        <v>95092.304500000013</v>
      </c>
      <c r="K38" s="165"/>
      <c r="L38" s="166">
        <f>L25</f>
        <v>61500</v>
      </c>
      <c r="N38" s="165"/>
      <c r="O38" s="166">
        <f>O25</f>
        <v>61750</v>
      </c>
      <c r="P38" s="123"/>
      <c r="Q38" s="165"/>
      <c r="R38" s="166">
        <f>R25</f>
        <v>66355</v>
      </c>
      <c r="T38" s="165"/>
      <c r="U38" s="166">
        <f>U25</f>
        <v>48899.16</v>
      </c>
      <c r="W38" s="165"/>
      <c r="X38" s="166">
        <f>X25</f>
        <v>48295</v>
      </c>
      <c r="Y38" s="112"/>
      <c r="AM38" s="134"/>
      <c r="AN38" s="135"/>
      <c r="AO38" s="135"/>
      <c r="AP38" s="135"/>
    </row>
    <row r="39" spans="1:42" s="66" customFormat="1" ht="6" customHeight="1">
      <c r="A39" s="56"/>
      <c r="D39" s="56"/>
      <c r="E39" s="167"/>
      <c r="F39" s="168"/>
      <c r="H39" s="167"/>
      <c r="I39" s="168"/>
      <c r="K39" s="167"/>
      <c r="L39" s="168"/>
      <c r="N39" s="167"/>
      <c r="O39" s="168"/>
      <c r="P39" s="123"/>
      <c r="Q39" s="167"/>
      <c r="R39" s="168"/>
      <c r="T39" s="167"/>
      <c r="U39" s="168"/>
      <c r="W39" s="167"/>
      <c r="X39" s="168"/>
    </row>
    <row r="40" spans="1:42" s="66" customFormat="1" ht="19.5" customHeight="1">
      <c r="A40" s="56"/>
      <c r="B40" s="72"/>
      <c r="C40" s="254"/>
      <c r="D40" s="56"/>
      <c r="E40" s="322" t="s">
        <v>84</v>
      </c>
      <c r="F40" s="323"/>
      <c r="H40" s="322" t="s">
        <v>84</v>
      </c>
      <c r="I40" s="323"/>
      <c r="K40" s="322" t="s">
        <v>84</v>
      </c>
      <c r="L40" s="323"/>
      <c r="N40" s="322" t="s">
        <v>84</v>
      </c>
      <c r="O40" s="323"/>
      <c r="P40" s="123"/>
      <c r="Q40" s="322" t="s">
        <v>84</v>
      </c>
      <c r="R40" s="323"/>
      <c r="T40" s="322" t="s">
        <v>84</v>
      </c>
      <c r="U40" s="323"/>
      <c r="W40" s="322" t="s">
        <v>84</v>
      </c>
      <c r="X40" s="323"/>
      <c r="AP40" s="136"/>
    </row>
    <row r="41" spans="1:42" s="66" customFormat="1" ht="19.5" customHeight="1">
      <c r="A41" s="56"/>
      <c r="B41" s="56"/>
      <c r="C41" s="56"/>
      <c r="D41" s="56"/>
      <c r="E41" s="169"/>
      <c r="F41" s="166">
        <f>F32</f>
        <v>1631.482</v>
      </c>
      <c r="H41" s="169"/>
      <c r="I41" s="185">
        <f>I27</f>
        <v>951.62</v>
      </c>
      <c r="K41" s="169"/>
      <c r="L41" s="166">
        <f>L35</f>
        <v>166.98</v>
      </c>
      <c r="N41" s="169"/>
      <c r="O41" s="166">
        <f>O35</f>
        <v>166.98</v>
      </c>
      <c r="P41" s="123"/>
      <c r="Q41" s="169"/>
      <c r="R41" s="166">
        <f>R35</f>
        <v>470.58000000000004</v>
      </c>
      <c r="T41" s="169"/>
      <c r="U41" s="166">
        <f>U35</f>
        <v>470.58000000000004</v>
      </c>
      <c r="W41" s="169"/>
      <c r="X41" s="166">
        <f>X35</f>
        <v>470.58000000000004</v>
      </c>
      <c r="AP41" s="136"/>
    </row>
    <row r="42" spans="1:42" s="66" customFormat="1" ht="11.25" customHeight="1">
      <c r="A42" s="56"/>
      <c r="B42" s="56"/>
      <c r="C42" s="56"/>
      <c r="D42" s="56"/>
      <c r="E42" s="182"/>
      <c r="F42" s="183"/>
      <c r="H42" s="182"/>
      <c r="I42" s="184"/>
      <c r="K42" s="182"/>
      <c r="L42" s="183"/>
      <c r="N42" s="182"/>
      <c r="O42" s="183"/>
      <c r="P42" s="123"/>
      <c r="Q42" s="182"/>
      <c r="R42" s="183"/>
      <c r="T42" s="182"/>
      <c r="U42" s="183"/>
      <c r="W42" s="182"/>
      <c r="X42" s="183"/>
      <c r="AP42" s="136"/>
    </row>
    <row r="43" spans="1:42" s="66" customFormat="1" ht="19.5" customHeight="1">
      <c r="A43" s="56"/>
      <c r="B43" s="56"/>
      <c r="C43" s="56"/>
      <c r="D43" s="56"/>
      <c r="E43" s="322" t="s">
        <v>119</v>
      </c>
      <c r="F43" s="323"/>
      <c r="H43" s="322" t="s">
        <v>119</v>
      </c>
      <c r="I43" s="323"/>
      <c r="K43" s="322" t="s">
        <v>119</v>
      </c>
      <c r="L43" s="323"/>
      <c r="N43" s="322" t="s">
        <v>119</v>
      </c>
      <c r="O43" s="323"/>
      <c r="P43" s="123"/>
      <c r="Q43" s="322" t="s">
        <v>119</v>
      </c>
      <c r="R43" s="323"/>
      <c r="T43" s="322" t="s">
        <v>119</v>
      </c>
      <c r="U43" s="323"/>
      <c r="W43" s="322" t="s">
        <v>119</v>
      </c>
      <c r="X43" s="323"/>
      <c r="AP43" s="136"/>
    </row>
    <row r="44" spans="1:42" s="66" customFormat="1" ht="19.5" customHeight="1">
      <c r="A44" s="56"/>
      <c r="B44" s="56"/>
      <c r="C44" s="56"/>
      <c r="D44" s="56"/>
      <c r="E44" s="169"/>
      <c r="F44" s="166">
        <f>(L4*T4)+L6</f>
        <v>538.8900000000001</v>
      </c>
      <c r="H44" s="169"/>
      <c r="I44" s="173">
        <v>0</v>
      </c>
      <c r="K44" s="169"/>
      <c r="L44" s="166">
        <f>L6</f>
        <v>121.44</v>
      </c>
      <c r="N44" s="169"/>
      <c r="O44" s="166">
        <f>L6</f>
        <v>121.44</v>
      </c>
      <c r="P44" s="123"/>
      <c r="Q44" s="169"/>
      <c r="R44" s="166">
        <f>(Calculadora!L4*Calculadora!T4)+Calculadora!L6</f>
        <v>538.8900000000001</v>
      </c>
      <c r="T44" s="169"/>
      <c r="U44" s="166">
        <f>(Calculadora!L4*Calculadora!T4)+Calculadora!L6</f>
        <v>538.8900000000001</v>
      </c>
      <c r="W44" s="169"/>
      <c r="X44" s="166">
        <f>(Calculadora!L4*Calculadora!T4)+Calculadora!L6</f>
        <v>538.8900000000001</v>
      </c>
      <c r="AP44" s="136"/>
    </row>
    <row r="45" spans="1:42" s="66" customFormat="1" ht="6" customHeight="1">
      <c r="A45" s="56"/>
      <c r="B45" s="56"/>
      <c r="C45" s="56"/>
      <c r="D45" s="56"/>
      <c r="E45" s="167"/>
      <c r="F45" s="168"/>
      <c r="H45" s="167"/>
      <c r="I45" s="168"/>
      <c r="K45" s="167"/>
      <c r="L45" s="168"/>
      <c r="N45" s="167"/>
      <c r="O45" s="168"/>
      <c r="P45" s="123"/>
      <c r="Q45" s="167"/>
      <c r="R45" s="168"/>
      <c r="T45" s="167"/>
      <c r="U45" s="168"/>
      <c r="W45" s="167"/>
      <c r="X45" s="168"/>
    </row>
    <row r="46" spans="1:42" s="66" customFormat="1" ht="19.5" customHeight="1">
      <c r="A46" s="56"/>
      <c r="B46" s="56"/>
      <c r="C46" s="56"/>
      <c r="D46" s="56"/>
      <c r="E46" s="322" t="s">
        <v>85</v>
      </c>
      <c r="F46" s="323"/>
      <c r="H46" s="322" t="s">
        <v>85</v>
      </c>
      <c r="I46" s="323"/>
      <c r="K46" s="322" t="s">
        <v>85</v>
      </c>
      <c r="L46" s="323"/>
      <c r="N46" s="322" t="s">
        <v>85</v>
      </c>
      <c r="O46" s="323"/>
      <c r="P46" s="123"/>
      <c r="Q46" s="322" t="s">
        <v>85</v>
      </c>
      <c r="R46" s="323"/>
      <c r="T46" s="322" t="s">
        <v>85</v>
      </c>
      <c r="U46" s="323"/>
      <c r="W46" s="322" t="s">
        <v>85</v>
      </c>
      <c r="X46" s="323"/>
    </row>
    <row r="47" spans="1:42" s="66" customFormat="1" ht="19.5" customHeight="1">
      <c r="A47" s="56"/>
      <c r="B47" s="56"/>
      <c r="C47" s="56"/>
      <c r="D47" s="56"/>
      <c r="E47" s="169"/>
      <c r="F47" s="170">
        <f>F38+F41+F44</f>
        <v>95520.069700000022</v>
      </c>
      <c r="H47" s="169"/>
      <c r="I47" s="170">
        <f>I38+I41+I44</f>
        <v>96043.924500000008</v>
      </c>
      <c r="K47" s="169"/>
      <c r="L47" s="170">
        <f>L38+L41+L44</f>
        <v>61788.420000000006</v>
      </c>
      <c r="N47" s="169"/>
      <c r="O47" s="170">
        <f>O38+O41+O44</f>
        <v>62038.420000000006</v>
      </c>
      <c r="P47" s="123"/>
      <c r="Q47" s="169"/>
      <c r="R47" s="170">
        <f>R38+R41+R44</f>
        <v>67364.47</v>
      </c>
      <c r="T47" s="169"/>
      <c r="U47" s="170">
        <f>U38+U41+U44</f>
        <v>49908.630000000005</v>
      </c>
      <c r="W47" s="169"/>
      <c r="X47" s="170">
        <f>X38+X41+X44</f>
        <v>49304.47</v>
      </c>
    </row>
    <row r="48" spans="1:42" s="66" customFormat="1" ht="6" customHeight="1">
      <c r="A48" s="56"/>
      <c r="B48" s="56"/>
      <c r="C48" s="56"/>
      <c r="D48" s="56"/>
      <c r="E48" s="167"/>
      <c r="F48" s="168"/>
      <c r="H48" s="167"/>
      <c r="I48" s="168"/>
      <c r="K48" s="167"/>
      <c r="L48" s="168"/>
      <c r="N48" s="167"/>
      <c r="O48" s="168"/>
      <c r="P48" s="123"/>
      <c r="Q48" s="167"/>
      <c r="R48" s="168"/>
      <c r="T48" s="167"/>
      <c r="U48" s="168"/>
      <c r="W48" s="167"/>
      <c r="X48" s="168"/>
    </row>
    <row r="49" spans="1:24" s="66" customFormat="1" ht="19.5" customHeight="1">
      <c r="A49" s="56"/>
      <c r="B49" s="56"/>
      <c r="C49" s="56"/>
      <c r="D49" s="56"/>
      <c r="E49" s="322" t="s">
        <v>86</v>
      </c>
      <c r="F49" s="323"/>
      <c r="H49" s="322" t="s">
        <v>86</v>
      </c>
      <c r="I49" s="323"/>
      <c r="K49" s="322" t="s">
        <v>86</v>
      </c>
      <c r="L49" s="323"/>
      <c r="N49" s="322" t="s">
        <v>86</v>
      </c>
      <c r="O49" s="323"/>
      <c r="P49" s="123"/>
      <c r="Q49" s="322" t="s">
        <v>86</v>
      </c>
      <c r="R49" s="323"/>
      <c r="T49" s="322" t="s">
        <v>86</v>
      </c>
      <c r="U49" s="323"/>
      <c r="W49" s="322" t="s">
        <v>86</v>
      </c>
      <c r="X49" s="323"/>
    </row>
    <row r="50" spans="1:24" s="125" customFormat="1" ht="19.5" customHeight="1" thickBot="1">
      <c r="A50" s="124"/>
      <c r="B50" s="124"/>
      <c r="C50" s="124"/>
      <c r="D50" s="124"/>
      <c r="E50" s="171"/>
      <c r="F50" s="172">
        <f>F47/SUM($H$4)</f>
        <v>0.27291448485714292</v>
      </c>
      <c r="H50" s="171"/>
      <c r="I50" s="172">
        <f>I47/SUM($H$4)</f>
        <v>0.27441121285714287</v>
      </c>
      <c r="K50" s="171"/>
      <c r="L50" s="172">
        <f>L47/SUM($H$4)</f>
        <v>0.17653834285714287</v>
      </c>
      <c r="N50" s="171"/>
      <c r="O50" s="172">
        <f>O47/SUM($H$4)</f>
        <v>0.17725262857142859</v>
      </c>
      <c r="P50" s="126"/>
      <c r="Q50" s="171"/>
      <c r="R50" s="172">
        <f>R47/SUM($H$4)</f>
        <v>0.19246991428571428</v>
      </c>
      <c r="T50" s="171"/>
      <c r="U50" s="172">
        <f>U47/SUM($H$4)</f>
        <v>0.14259608571428573</v>
      </c>
      <c r="W50" s="171"/>
      <c r="X50" s="172">
        <f>X47/SUM($H$4)</f>
        <v>0.1408699142857143</v>
      </c>
    </row>
    <row r="51" spans="1:24" s="66" customFormat="1" ht="19.5" customHeight="1">
      <c r="A51" s="56"/>
      <c r="B51" s="56"/>
      <c r="C51" s="56"/>
      <c r="D51" s="56"/>
      <c r="K51" s="123"/>
      <c r="L51" s="123"/>
      <c r="N51" s="123"/>
      <c r="O51" s="123"/>
      <c r="P51" s="123"/>
      <c r="Q51" s="123"/>
      <c r="R51" s="123"/>
    </row>
    <row r="52" spans="1:24" ht="19.5" customHeight="1"/>
    <row r="53" spans="1:24" ht="19.5" customHeight="1"/>
    <row r="54" spans="1:24" ht="19.5" customHeight="1"/>
    <row r="55" spans="1:24" ht="19.5" customHeight="1"/>
    <row r="56" spans="1:24" ht="19.5" customHeight="1"/>
    <row r="57" spans="1:24" ht="19.5" customHeight="1"/>
    <row r="58" spans="1:24" ht="19.5" customHeight="1"/>
    <row r="59" spans="1:24" ht="19.5" hidden="1" customHeight="1"/>
    <row r="60" spans="1:24" ht="19.5" hidden="1" customHeight="1"/>
    <row r="61" spans="1:24" ht="19.5" hidden="1" customHeight="1"/>
    <row r="62" spans="1:24" ht="19.5" hidden="1" customHeight="1"/>
    <row r="63" spans="1:24" ht="19.5" hidden="1" customHeight="1"/>
    <row r="64" spans="1:24" ht="19.5" hidden="1" customHeight="1"/>
  </sheetData>
  <dataConsolidate/>
  <mergeCells count="52">
    <mergeCell ref="W49:X49"/>
    <mergeCell ref="A1:X2"/>
    <mergeCell ref="K11:X12"/>
    <mergeCell ref="U6:U7"/>
    <mergeCell ref="W16:X17"/>
    <mergeCell ref="W37:X37"/>
    <mergeCell ref="W40:X40"/>
    <mergeCell ref="W43:X43"/>
    <mergeCell ref="W46:X46"/>
    <mergeCell ref="Q37:R37"/>
    <mergeCell ref="Q40:R40"/>
    <mergeCell ref="Q46:R46"/>
    <mergeCell ref="K37:L37"/>
    <mergeCell ref="K40:L40"/>
    <mergeCell ref="K46:L46"/>
    <mergeCell ref="E37:F37"/>
    <mergeCell ref="T16:U17"/>
    <mergeCell ref="K16:L17"/>
    <mergeCell ref="Q16:R17"/>
    <mergeCell ref="H16:I17"/>
    <mergeCell ref="E19:F19"/>
    <mergeCell ref="K49:L49"/>
    <mergeCell ref="N37:O37"/>
    <mergeCell ref="N40:O40"/>
    <mergeCell ref="N46:O46"/>
    <mergeCell ref="N49:O49"/>
    <mergeCell ref="K43:L43"/>
    <mergeCell ref="N43:O43"/>
    <mergeCell ref="Q49:R49"/>
    <mergeCell ref="T37:U37"/>
    <mergeCell ref="T40:U40"/>
    <mergeCell ref="T46:U46"/>
    <mergeCell ref="T49:U49"/>
    <mergeCell ref="Q43:R43"/>
    <mergeCell ref="T43:U43"/>
    <mergeCell ref="E49:F49"/>
    <mergeCell ref="H37:I37"/>
    <mergeCell ref="H40:I40"/>
    <mergeCell ref="H46:I46"/>
    <mergeCell ref="H49:I49"/>
    <mergeCell ref="E43:F43"/>
    <mergeCell ref="H43:I43"/>
    <mergeCell ref="E40:F40"/>
    <mergeCell ref="E46:F46"/>
    <mergeCell ref="R4:S4"/>
    <mergeCell ref="O4:P4"/>
    <mergeCell ref="N16:O17"/>
    <mergeCell ref="B11:C14"/>
    <mergeCell ref="E16:F17"/>
    <mergeCell ref="E11:I12"/>
    <mergeCell ref="O6:P6"/>
    <mergeCell ref="K14:L14"/>
  </mergeCells>
  <phoneticPr fontId="13" type="noConversion"/>
  <dataValidations count="1">
    <dataValidation type="list" allowBlank="1" showInputMessage="1" showErrorMessage="1" sqref="Q9" xr:uid="{70094447-E6BD-4808-AF32-560983A162C9}">
      <formula1>"SIM,NÃO"</formula1>
    </dataValidation>
  </dataValidations>
  <pageMargins left="0.25" right="0.25" top="0.75" bottom="0.75" header="0.3" footer="0.3"/>
  <pageSetup paperSize="9" scale="63" orientation="landscape" horizontalDpi="0" verticalDpi="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89820BB3-7D36-4A91-8909-AE5120C9CF6B}">
          <x14:formula1>
            <xm:f>SUSPENSA!$B$2:$B$3</xm:f>
          </x14:formula1>
          <xm:sqref>F21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6B041D-084C-4A94-834E-2F090C4BC270}">
  <dimension ref="B1:H24"/>
  <sheetViews>
    <sheetView workbookViewId="0">
      <selection activeCell="I26" sqref="I26"/>
    </sheetView>
  </sheetViews>
  <sheetFormatPr defaultRowHeight="14.4"/>
  <cols>
    <col min="2" max="2" width="27.6640625" bestFit="1" customWidth="1"/>
    <col min="5" max="5" width="19.6640625" bestFit="1" customWidth="1"/>
    <col min="6" max="6" width="12.109375" bestFit="1" customWidth="1"/>
    <col min="8" max="8" width="10.5546875" bestFit="1" customWidth="1"/>
  </cols>
  <sheetData>
    <row r="1" spans="2:8">
      <c r="B1" s="188" t="s">
        <v>55</v>
      </c>
      <c r="E1" s="188" t="s">
        <v>55</v>
      </c>
    </row>
    <row r="2" spans="2:8">
      <c r="B2" t="s">
        <v>123</v>
      </c>
      <c r="E2" s="195" t="s">
        <v>125</v>
      </c>
      <c r="F2" s="194">
        <v>1518</v>
      </c>
    </row>
    <row r="3" spans="2:8">
      <c r="B3" t="s">
        <v>124</v>
      </c>
      <c r="E3" s="195" t="s">
        <v>126</v>
      </c>
      <c r="F3" s="194">
        <v>8157.41</v>
      </c>
    </row>
    <row r="4" spans="2:8">
      <c r="B4" t="s">
        <v>131</v>
      </c>
    </row>
    <row r="5" spans="2:8">
      <c r="G5" s="188" t="s">
        <v>56</v>
      </c>
      <c r="H5" s="188" t="s">
        <v>57</v>
      </c>
    </row>
    <row r="6" spans="2:8">
      <c r="E6" s="194">
        <v>1518</v>
      </c>
      <c r="F6" s="194"/>
      <c r="G6" s="186">
        <v>7.4999999999999997E-2</v>
      </c>
      <c r="H6">
        <v>0</v>
      </c>
    </row>
    <row r="7" spans="2:8">
      <c r="E7" s="194">
        <v>1518.01</v>
      </c>
      <c r="F7" s="194">
        <v>2793.88</v>
      </c>
      <c r="G7" s="193">
        <v>0.09</v>
      </c>
      <c r="H7">
        <v>22.77</v>
      </c>
    </row>
    <row r="8" spans="2:8">
      <c r="E8" s="194">
        <v>2793.89</v>
      </c>
      <c r="F8" s="194">
        <v>4190.83</v>
      </c>
      <c r="G8" s="193">
        <v>0.12</v>
      </c>
      <c r="H8">
        <v>106.6</v>
      </c>
    </row>
    <row r="9" spans="2:8">
      <c r="E9" s="194">
        <v>4190.84</v>
      </c>
      <c r="F9" s="196">
        <v>8157.41</v>
      </c>
      <c r="G9" s="193">
        <v>0.14000000000000001</v>
      </c>
      <c r="H9">
        <v>190.42</v>
      </c>
    </row>
    <row r="12" spans="2:8">
      <c r="E12" s="195" t="s">
        <v>127</v>
      </c>
      <c r="F12" s="194">
        <v>951.62</v>
      </c>
    </row>
    <row r="15" spans="2:8">
      <c r="E15" s="48" t="s">
        <v>128</v>
      </c>
      <c r="F15" s="196">
        <v>8157.41</v>
      </c>
    </row>
    <row r="16" spans="2:8">
      <c r="E16" s="193">
        <v>0.11</v>
      </c>
      <c r="F16" s="197">
        <v>897.31</v>
      </c>
    </row>
    <row r="18" spans="5:8">
      <c r="E18" s="188" t="s">
        <v>140</v>
      </c>
    </row>
    <row r="19" spans="5:8">
      <c r="G19" s="188" t="s">
        <v>56</v>
      </c>
      <c r="H19" s="188" t="s">
        <v>57</v>
      </c>
    </row>
    <row r="20" spans="5:8">
      <c r="E20" s="194">
        <v>2259.1999999999998</v>
      </c>
      <c r="F20" s="194">
        <v>0</v>
      </c>
      <c r="G20" s="274">
        <v>0</v>
      </c>
      <c r="H20" s="194">
        <v>0</v>
      </c>
    </row>
    <row r="21" spans="5:8">
      <c r="E21" s="194">
        <v>2259.21</v>
      </c>
      <c r="F21" s="194">
        <v>2826.65</v>
      </c>
      <c r="G21" s="274">
        <v>7.4999999999999997E-2</v>
      </c>
      <c r="H21" s="194">
        <v>169.44</v>
      </c>
    </row>
    <row r="22" spans="5:8">
      <c r="E22" s="194">
        <v>2826.66</v>
      </c>
      <c r="F22" s="194">
        <v>3751.05</v>
      </c>
      <c r="G22" s="274">
        <v>0.15</v>
      </c>
      <c r="H22" s="194">
        <v>381.44</v>
      </c>
    </row>
    <row r="23" spans="5:8">
      <c r="E23" s="194">
        <v>3751.06</v>
      </c>
      <c r="F23" s="196">
        <v>4664.67</v>
      </c>
      <c r="G23" s="274">
        <v>0.22500000000000001</v>
      </c>
      <c r="H23" s="194">
        <v>662.77</v>
      </c>
    </row>
    <row r="24" spans="5:8">
      <c r="E24" s="194">
        <v>4664.68</v>
      </c>
      <c r="G24" s="274">
        <v>0.27500000000000002</v>
      </c>
      <c r="H24" s="194">
        <v>896</v>
      </c>
    </row>
  </sheetData>
  <pageMargins left="0.511811024" right="0.511811024" top="0.78740157499999996" bottom="0.78740157499999996" header="0.31496062000000002" footer="0.31496062000000002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8</vt:i4>
      </vt:variant>
    </vt:vector>
  </HeadingPairs>
  <TitlesOfParts>
    <vt:vector size="8" baseType="lpstr">
      <vt:lpstr>ANEXO 3</vt:lpstr>
      <vt:lpstr>ANEXO 5</vt:lpstr>
      <vt:lpstr>Carnê Leão</vt:lpstr>
      <vt:lpstr>Lucro Presumido</vt:lpstr>
      <vt:lpstr>resumo</vt:lpstr>
      <vt:lpstr>Apresentação</vt:lpstr>
      <vt:lpstr>Calculadora</vt:lpstr>
      <vt:lpstr>SUSPENSA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</dc:creator>
  <cp:lastModifiedBy>romulo e leila gomes</cp:lastModifiedBy>
  <cp:lastPrinted>2022-02-01T00:47:28Z</cp:lastPrinted>
  <dcterms:created xsi:type="dcterms:W3CDTF">2016-12-08T13:48:55Z</dcterms:created>
  <dcterms:modified xsi:type="dcterms:W3CDTF">2025-02-02T14:57:44Z</dcterms:modified>
</cp:coreProperties>
</file>